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sugawara\Desktop\"/>
    </mc:Choice>
  </mc:AlternateContent>
  <xr:revisionPtr revIDLastSave="0" documentId="13_ncr:1_{C589F8A6-6F1F-4B47-8D39-B451C97C4549}" xr6:coauthVersionLast="47" xr6:coauthVersionMax="47" xr10:uidLastSave="{00000000-0000-0000-0000-000000000000}"/>
  <bookViews>
    <workbookView xWindow="750" yWindow="210" windowWidth="13155" windowHeight="14340" tabRatio="773" activeTab="4" xr2:uid="{00000000-000D-0000-FFFF-FFFF00000000}"/>
  </bookViews>
  <sheets>
    <sheet name="別紙１（2of3）（全系統の集計表)" sheetId="65" r:id="rId1"/>
    <sheet name="別紙１（2of3）（系統ごとの集計表） " sheetId="63" r:id="rId2"/>
    <sheet name="別紙１（2of3）（型式ごとの計算シート）" sheetId="71" r:id="rId3"/>
    <sheet name=" 別紙１（別添1）" sheetId="66" r:id="rId4"/>
    <sheet name="別紙１（別添２）" sheetId="72" r:id="rId5"/>
  </sheets>
  <definedNames>
    <definedName name="_xlnm._FilterDatabase" localSheetId="1" hidden="1">'別紙１（2of3）（系統ごとの集計表） '!$A$3:$F$13</definedName>
    <definedName name="_xlnm._FilterDatabase" localSheetId="0" hidden="1">'別紙１（2of3）（全系統の集計表)'!$A$3:$F$8</definedName>
    <definedName name="_xlnm.Print_Area" localSheetId="2">'別紙１（2of3）（型式ごとの計算シート）'!$A$1:$I$39</definedName>
    <definedName name="_xlnm.Print_Area" localSheetId="1">'別紙１（2of3）（系統ごとの集計表） '!$A$1:$I$23</definedName>
    <definedName name="_xlnm.Print_Area" localSheetId="0">'別紙１（2of3）（全系統の集計表)'!$A$1:$E$19</definedName>
    <definedName name="_xlnm.Print_Area" localSheetId="4">'別紙１（別添２）'!$A$1:$F$37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71" l="1"/>
  <c r="B51" i="72"/>
  <c r="B57" i="72"/>
  <c r="B52" i="72"/>
  <c r="J57" i="72"/>
  <c r="D57" i="72"/>
  <c r="I57" i="72"/>
  <c r="C57" i="72"/>
  <c r="E57" i="72"/>
  <c r="B58" i="72"/>
  <c r="J58" i="72"/>
  <c r="D58" i="72"/>
  <c r="I58" i="72"/>
  <c r="C58" i="72"/>
  <c r="E58" i="72"/>
  <c r="B59" i="72"/>
  <c r="J59" i="72"/>
  <c r="D59" i="72"/>
  <c r="I59" i="72"/>
  <c r="C59" i="72"/>
  <c r="E59" i="72"/>
  <c r="B60" i="72"/>
  <c r="J60" i="72"/>
  <c r="D60" i="72"/>
  <c r="I60" i="72"/>
  <c r="C60" i="72"/>
  <c r="E60" i="72"/>
  <c r="B61" i="72"/>
  <c r="J61" i="72"/>
  <c r="D61" i="72"/>
  <c r="I61" i="72"/>
  <c r="C61" i="72"/>
  <c r="E61" i="72"/>
  <c r="B62" i="72"/>
  <c r="J62" i="72"/>
  <c r="D62" i="72"/>
  <c r="I62" i="72"/>
  <c r="C62" i="72"/>
  <c r="E62" i="72"/>
  <c r="B63" i="72"/>
  <c r="J63" i="72"/>
  <c r="D63" i="72"/>
  <c r="I63" i="72"/>
  <c r="C63" i="72"/>
  <c r="E63" i="72"/>
  <c r="B64" i="72"/>
  <c r="J64" i="72"/>
  <c r="D64" i="72"/>
  <c r="I64" i="72"/>
  <c r="C64" i="72"/>
  <c r="E64" i="72"/>
  <c r="B65" i="72"/>
  <c r="J65" i="72"/>
  <c r="D65" i="72"/>
  <c r="I65" i="72"/>
  <c r="C65" i="72"/>
  <c r="E65" i="72"/>
  <c r="B66" i="72"/>
  <c r="J66" i="72"/>
  <c r="D66" i="72"/>
  <c r="I66" i="72"/>
  <c r="C66" i="72"/>
  <c r="E66" i="72"/>
  <c r="B67" i="72"/>
  <c r="J67" i="72"/>
  <c r="D67" i="72"/>
  <c r="I67" i="72"/>
  <c r="C67" i="72"/>
  <c r="E67" i="72"/>
  <c r="B68" i="72"/>
  <c r="J68" i="72"/>
  <c r="D68" i="72"/>
  <c r="I68" i="72"/>
  <c r="C68" i="72"/>
  <c r="E68" i="72"/>
  <c r="E69" i="72"/>
  <c r="B55" i="72"/>
  <c r="H68" i="72"/>
  <c r="G68" i="72"/>
  <c r="H67" i="72"/>
  <c r="G67" i="72"/>
  <c r="H66" i="72"/>
  <c r="G66" i="72"/>
  <c r="H65" i="72"/>
  <c r="G65" i="72"/>
  <c r="H64" i="72"/>
  <c r="G64" i="72"/>
  <c r="H63" i="72"/>
  <c r="G63" i="72"/>
  <c r="H62" i="72"/>
  <c r="G62" i="72"/>
  <c r="H61" i="72"/>
  <c r="G61" i="72"/>
  <c r="H60" i="72"/>
  <c r="G60" i="72"/>
  <c r="H59" i="72"/>
  <c r="G59" i="72"/>
  <c r="H58" i="72"/>
  <c r="G58" i="72"/>
  <c r="H57" i="72"/>
  <c r="G57" i="72"/>
  <c r="B54" i="72"/>
  <c r="B53" i="72"/>
  <c r="C18" i="72"/>
  <c r="B35" i="72"/>
  <c r="D20" i="72"/>
  <c r="D21" i="72"/>
  <c r="D22" i="72"/>
  <c r="D23" i="72"/>
  <c r="D24" i="72"/>
  <c r="D25" i="72"/>
  <c r="D26" i="72"/>
  <c r="D27" i="72"/>
  <c r="D28" i="72"/>
  <c r="D29" i="72"/>
  <c r="D30" i="72"/>
  <c r="D31" i="72"/>
  <c r="D32" i="72"/>
  <c r="B15" i="72"/>
  <c r="N91" i="71"/>
  <c r="U109" i="71"/>
  <c r="T109" i="71"/>
  <c r="O109" i="71"/>
  <c r="N109" i="71"/>
  <c r="U108" i="71"/>
  <c r="T108" i="71"/>
  <c r="O108" i="71"/>
  <c r="N108" i="71"/>
  <c r="U107" i="71"/>
  <c r="T107" i="71"/>
  <c r="O107" i="71"/>
  <c r="N107" i="71"/>
  <c r="U106" i="71"/>
  <c r="T106" i="71"/>
  <c r="O106" i="71"/>
  <c r="N106" i="71"/>
  <c r="U105" i="71"/>
  <c r="T105" i="71"/>
  <c r="O105" i="71"/>
  <c r="N105" i="71"/>
  <c r="U104" i="71"/>
  <c r="T104" i="71"/>
  <c r="O104" i="71"/>
  <c r="N104" i="71"/>
  <c r="U103" i="71"/>
  <c r="T103" i="71"/>
  <c r="O103" i="71"/>
  <c r="N103" i="71"/>
  <c r="M91" i="71"/>
  <c r="O96" i="71"/>
  <c r="O91" i="71"/>
  <c r="T91" i="71"/>
  <c r="V91" i="71"/>
  <c r="S91" i="71"/>
  <c r="U91" i="71"/>
  <c r="R91" i="71"/>
  <c r="F21" i="71"/>
  <c r="F23" i="71"/>
  <c r="F25" i="71"/>
  <c r="D21" i="71"/>
  <c r="D23" i="71"/>
  <c r="D25" i="71"/>
  <c r="F34" i="71"/>
  <c r="F30" i="71"/>
  <c r="D27" i="71"/>
  <c r="D29" i="71"/>
  <c r="F36" i="71"/>
  <c r="F38" i="71"/>
  <c r="E18" i="71"/>
  <c r="E19" i="71"/>
  <c r="E21" i="71"/>
  <c r="E22" i="71"/>
  <c r="E10" i="71"/>
  <c r="E23" i="71"/>
  <c r="E25" i="71"/>
  <c r="E34" i="71"/>
  <c r="E26" i="71"/>
  <c r="E27" i="71"/>
  <c r="E28" i="71"/>
  <c r="E29" i="71"/>
  <c r="E30" i="71"/>
  <c r="E36" i="71"/>
  <c r="E38" i="71"/>
  <c r="D38" i="71"/>
  <c r="D36" i="71"/>
  <c r="D34" i="71"/>
  <c r="F27" i="71"/>
  <c r="E17" i="71"/>
  <c r="E16" i="71"/>
  <c r="E15" i="71"/>
  <c r="E13" i="71"/>
  <c r="E12" i="71"/>
  <c r="E11" i="71"/>
  <c r="E9" i="71"/>
  <c r="E21" i="63"/>
  <c r="D21" i="63"/>
  <c r="E16" i="65"/>
  <c r="D16" i="65"/>
  <c r="E14" i="65"/>
  <c r="E12" i="65"/>
  <c r="D14" i="65"/>
  <c r="D12" i="65"/>
  <c r="C17" i="63"/>
  <c r="E19" i="63"/>
  <c r="E17" i="63"/>
  <c r="D17" i="63"/>
  <c r="C20" i="66"/>
  <c r="B20" i="66"/>
  <c r="C19" i="66"/>
  <c r="B19" i="66"/>
  <c r="D13" i="66"/>
  <c r="H13" i="66"/>
  <c r="D20" i="66"/>
  <c r="H20" i="66"/>
  <c r="D12" i="66"/>
  <c r="H12" i="66"/>
  <c r="D19" i="66"/>
  <c r="H19" i="66"/>
  <c r="C12" i="65"/>
  <c r="C16" i="65"/>
  <c r="C14" i="65"/>
  <c r="D19" i="63"/>
  <c r="C19" i="63"/>
  <c r="C21"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1" authorId="0"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なお、系統ごとの冷却負荷や冷凍能力の集計は、様式2（2/3）（系統ごとの集計表）に集計してください。</t>
        </r>
      </text>
    </comment>
    <comment ref="N91" authorId="0" shapeId="0" xr:uid="{2DE44585-8F56-4A4B-867F-2219A7057D46}">
      <text>
        <r>
          <rPr>
            <b/>
            <sz val="10"/>
            <color indexed="81"/>
            <rFont val="MS P ゴシック"/>
            <family val="3"/>
            <charset val="128"/>
          </rPr>
          <t>‐65℃よりも低温
　10℃よりも高温
の場合は、自動計算されません</t>
        </r>
      </text>
    </comment>
    <comment ref="O91" authorId="0" shapeId="0" xr:uid="{F75B4A14-541E-4EDE-B2A8-272F642F9A89}">
      <text>
        <r>
          <rPr>
            <b/>
            <sz val="10"/>
            <color indexed="81"/>
            <rFont val="MS P ゴシック"/>
            <family val="3"/>
            <charset val="128"/>
          </rPr>
          <t>冷凍能力0.0kW以下
冷凍能力500kW超
以上の条件は自動計算されません。</t>
        </r>
      </text>
    </comment>
    <comment ref="O96" authorId="0" shapeId="0" xr:uid="{F582BA05-B8CD-4BA8-87B0-DDA0DE570C49}">
      <text>
        <r>
          <rPr>
            <b/>
            <sz val="10"/>
            <color indexed="81"/>
            <rFont val="MS P ゴシック"/>
            <family val="3"/>
            <charset val="128"/>
          </rPr>
          <t>空冷式・水冷式を選択。
蒸発式・その他は
出力無し。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sharedStrings.xml><?xml version="1.0" encoding="utf-8"?>
<sst xmlns="http://schemas.openxmlformats.org/spreadsheetml/2006/main" count="466" uniqueCount="306">
  <si>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</si>
  <si>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</si>
  <si>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</si>
  <si>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</si>
  <si>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冷凍能力</t>
    <rPh sb="0" eb="2">
      <t>レイトウ</t>
    </rPh>
    <rPh sb="2" eb="4">
      <t>ノウリョク</t>
    </rPh>
    <phoneticPr fontId="3"/>
  </si>
  <si>
    <t>CO2削減量</t>
    <rPh sb="3" eb="6">
      <t>サクゲンリョウ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</si>
  <si>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</si>
  <si>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</si>
  <si>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</si>
  <si>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</si>
  <si>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</si>
  <si>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</si>
  <si>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記入要領</t>
    <rPh sb="0" eb="2">
      <t>キニュウ</t>
    </rPh>
    <rPh sb="2" eb="4">
      <t>ヨウリョウ</t>
    </rPh>
    <phoneticPr fontId="3"/>
  </si>
  <si>
    <t>記入事項・用語</t>
    <rPh sb="0" eb="2">
      <t>キニュウ</t>
    </rPh>
    <rPh sb="2" eb="4">
      <t>ジコウ</t>
    </rPh>
    <rPh sb="5" eb="7">
      <t>ヨウゴ</t>
    </rPh>
    <phoneticPr fontId="3"/>
  </si>
  <si>
    <t>説明</t>
    <rPh sb="0" eb="2">
      <t>セツメイ</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</si>
  <si>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</si>
  <si>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</si>
  <si>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ｔ</t>
    <phoneticPr fontId="3"/>
  </si>
  <si>
    <t>（イ）－（ア）</t>
    <phoneticPr fontId="3"/>
  </si>
  <si>
    <t>t</t>
    <phoneticPr fontId="3"/>
  </si>
  <si>
    <t>％</t>
    <phoneticPr fontId="3"/>
  </si>
  <si>
    <t>kgCO2/kWh</t>
    <phoneticPr fontId="3"/>
  </si>
  <si>
    <t>kWh</t>
    <phoneticPr fontId="3"/>
  </si>
  <si>
    <t>hrs/ｙ</t>
    <phoneticPr fontId="3"/>
  </si>
  <si>
    <t>kW</t>
    <phoneticPr fontId="3"/>
  </si>
  <si>
    <t>℃</t>
    <phoneticPr fontId="3"/>
  </si>
  <si>
    <t>Ｂ
比較対象
フロン冷媒機器</t>
    <rPh sb="2" eb="4">
      <t>ヒカク</t>
    </rPh>
    <rPh sb="4" eb="6">
      <t>タイショウ</t>
    </rPh>
    <rPh sb="10" eb="12">
      <t>レイバイ</t>
    </rPh>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</si>
  <si>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</si>
  <si>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</si>
  <si>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</si>
  <si>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</si>
  <si>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</si>
  <si>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</si>
  <si>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</si>
  <si>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</si>
  <si>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</si>
  <si>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</si>
  <si>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</si>
  <si>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</si>
  <si>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R410A</t>
    <phoneticPr fontId="3"/>
  </si>
  <si>
    <t>R12</t>
    <phoneticPr fontId="3"/>
  </si>
  <si>
    <t>⑦電力換算値</t>
    <rPh sb="1" eb="3">
      <t>デンリョク</t>
    </rPh>
    <rPh sb="3" eb="5">
      <t>カンサン</t>
    </rPh>
    <rPh sb="5" eb="6">
      <t>チ</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</si>
  <si>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</si>
  <si>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⑧合計エネルギー起源CO2
　（⑥×⑦／1000）</t>
    <rPh sb="1" eb="3">
      <t>ゴウケイ</t>
    </rPh>
    <rPh sb="8" eb="10">
      <t>キゲン</t>
    </rPh>
    <phoneticPr fontId="3"/>
  </si>
  <si>
    <t>合計削減量（⑬＋⑭）</t>
    <phoneticPr fontId="3"/>
  </si>
  <si>
    <t>記入上の注意</t>
    <rPh sb="0" eb="2">
      <t>キニュウ</t>
    </rPh>
    <rPh sb="2" eb="3">
      <t>ジョウ</t>
    </rPh>
    <rPh sb="4" eb="6">
      <t>チュウイ</t>
    </rPh>
    <phoneticPr fontId="3"/>
  </si>
  <si>
    <t>プロパン</t>
    <phoneticPr fontId="3"/>
  </si>
  <si>
    <t>R407H</t>
    <phoneticPr fontId="3"/>
  </si>
  <si>
    <t>R448A</t>
    <phoneticPr fontId="3"/>
  </si>
  <si>
    <t>R449A</t>
    <phoneticPr fontId="3"/>
  </si>
  <si>
    <t>R463A-J</t>
    <phoneticPr fontId="3"/>
  </si>
  <si>
    <t>蒸発温度または
冷水出口温度</t>
    <rPh sb="0" eb="2">
      <t>ジョウハツ</t>
    </rPh>
    <rPh sb="2" eb="4">
      <t>オンド</t>
    </rPh>
    <rPh sb="8" eb="10">
      <t>レイスイ</t>
    </rPh>
    <rPh sb="10" eb="12">
      <t>デグチ</t>
    </rPh>
    <rPh sb="12" eb="14">
      <t>オンド</t>
    </rPh>
    <phoneticPr fontId="3"/>
  </si>
  <si>
    <t>冷却方式</t>
    <rPh sb="0" eb="2">
      <t>レイキャク</t>
    </rPh>
    <rPh sb="2" eb="4">
      <t>ホウシキ</t>
    </rPh>
    <phoneticPr fontId="3"/>
  </si>
  <si>
    <t>＜凝縮温度表・外気温度＞</t>
    <rPh sb="1" eb="3">
      <t>ギョウシュク</t>
    </rPh>
    <rPh sb="3" eb="5">
      <t>オンド</t>
    </rPh>
    <rPh sb="5" eb="6">
      <t>ヒョウ</t>
    </rPh>
    <phoneticPr fontId="3"/>
  </si>
  <si>
    <t>＜冷却方式＞</t>
    <rPh sb="1" eb="3">
      <t>レイキャク</t>
    </rPh>
    <rPh sb="3" eb="5">
      <t>ホウシキ</t>
    </rPh>
    <phoneticPr fontId="3"/>
  </si>
  <si>
    <t>空冷式（空冷散水式含む）</t>
    <rPh sb="0" eb="3">
      <t>クウレイシキ</t>
    </rPh>
    <rPh sb="4" eb="6">
      <t>クウレイ</t>
    </rPh>
    <rPh sb="6" eb="8">
      <t>サンスイ</t>
    </rPh>
    <rPh sb="8" eb="9">
      <t>シキ</t>
    </rPh>
    <rPh sb="9" eb="10">
      <t>フク</t>
    </rPh>
    <phoneticPr fontId="3"/>
  </si>
  <si>
    <t>水冷式</t>
    <rPh sb="0" eb="3">
      <t>スイレイシキ</t>
    </rPh>
    <phoneticPr fontId="3"/>
  </si>
  <si>
    <t>蒸発式</t>
    <rPh sb="0" eb="2">
      <t>ジョウハツ</t>
    </rPh>
    <rPh sb="2" eb="3">
      <t>シキ</t>
    </rPh>
    <phoneticPr fontId="3"/>
  </si>
  <si>
    <t xml:space="preserve">DB </t>
    <phoneticPr fontId="3"/>
  </si>
  <si>
    <t>入力値</t>
    <rPh sb="0" eb="3">
      <t>ニュウリョクチ</t>
    </rPh>
    <phoneticPr fontId="3"/>
  </si>
  <si>
    <t>出力値</t>
    <rPh sb="0" eb="2">
      <t>シュツリョク</t>
    </rPh>
    <rPh sb="2" eb="3">
      <t>アタイ</t>
    </rPh>
    <phoneticPr fontId="3"/>
  </si>
  <si>
    <t>蒸発温度</t>
    <rPh sb="0" eb="2">
      <t>ジョウハツ</t>
    </rPh>
    <rPh sb="2" eb="4">
      <t>オンド</t>
    </rPh>
    <phoneticPr fontId="3"/>
  </si>
  <si>
    <t>冷凍能力クラス</t>
    <rPh sb="0" eb="2">
      <t>レイトウ</t>
    </rPh>
    <rPh sb="2" eb="4">
      <t>ノウリョク</t>
    </rPh>
    <phoneticPr fontId="3"/>
  </si>
  <si>
    <t>COP</t>
    <phoneticPr fontId="3"/>
  </si>
  <si>
    <t>kg/kW</t>
    <phoneticPr fontId="3"/>
  </si>
  <si>
    <t>冷凍機消費電力kW</t>
    <rPh sb="0" eb="3">
      <t>レイトウキ</t>
    </rPh>
    <rPh sb="3" eb="5">
      <t>ショウヒ</t>
    </rPh>
    <rPh sb="5" eb="7">
      <t>デンリョク</t>
    </rPh>
    <phoneticPr fontId="3"/>
  </si>
  <si>
    <t>冷媒量kg</t>
    <rPh sb="0" eb="2">
      <t>レイバイ</t>
    </rPh>
    <rPh sb="2" eb="3">
      <t>リョウ</t>
    </rPh>
    <phoneticPr fontId="3"/>
  </si>
  <si>
    <t>計算値</t>
    <rPh sb="0" eb="3">
      <t>ケイサンチ</t>
    </rPh>
    <phoneticPr fontId="3"/>
  </si>
  <si>
    <t>検査値</t>
    <rPh sb="0" eb="2">
      <t>ケンサ</t>
    </rPh>
    <rPh sb="2" eb="3">
      <t>アタイ</t>
    </rPh>
    <phoneticPr fontId="3"/>
  </si>
  <si>
    <t>空冷式（空冷散水式含む）</t>
    <rPh sb="0" eb="3">
      <t>クウレイシキ</t>
    </rPh>
    <phoneticPr fontId="3"/>
  </si>
  <si>
    <t>能力範囲</t>
    <rPh sb="0" eb="2">
      <t>ノウリョク</t>
    </rPh>
    <rPh sb="2" eb="4">
      <t>ハンイ</t>
    </rPh>
    <phoneticPr fontId="3"/>
  </si>
  <si>
    <t>0＜=7.5kW</t>
    <phoneticPr fontId="16"/>
  </si>
  <si>
    <t>7.5&lt;=22kW</t>
    <phoneticPr fontId="16"/>
  </si>
  <si>
    <t>22&lt;=37kw</t>
    <phoneticPr fontId="16"/>
  </si>
  <si>
    <t>37kW&lt;=50kW</t>
    <phoneticPr fontId="16"/>
  </si>
  <si>
    <t>50kW&lt;=100kW</t>
    <phoneticPr fontId="16"/>
  </si>
  <si>
    <t>100kW&lt;=200kW</t>
    <phoneticPr fontId="16"/>
  </si>
  <si>
    <t>200kW&lt;=500kW</t>
    <phoneticPr fontId="16"/>
  </si>
  <si>
    <t>kg</t>
    <phoneticPr fontId="3"/>
  </si>
  <si>
    <t>⑩合計冷媒保有量（⑨×台数）</t>
    <rPh sb="1" eb="3">
      <t>ゴウケイ</t>
    </rPh>
    <rPh sb="3" eb="5">
      <t>レイバイ</t>
    </rPh>
    <rPh sb="5" eb="8">
      <t>ホユウリョウ</t>
    </rPh>
    <rPh sb="11" eb="13">
      <t>ダイスウ</t>
    </rPh>
    <phoneticPr fontId="3"/>
  </si>
  <si>
    <t>R134ａ</t>
    <phoneticPr fontId="3"/>
  </si>
  <si>
    <t>台数</t>
    <rPh sb="0" eb="2">
      <t>ダイスウ</t>
    </rPh>
    <phoneticPr fontId="3"/>
  </si>
  <si>
    <t>市中冷媒の平均値（自動計算）</t>
    <rPh sb="0" eb="1">
      <t>シチュウ</t>
    </rPh>
    <rPh sb="1" eb="3">
      <t>レイバイ</t>
    </rPh>
    <rPh sb="5" eb="8">
      <t>ヘイキンチ</t>
    </rPh>
    <rPh sb="9" eb="11">
      <t>ジドウ</t>
    </rPh>
    <rPh sb="11" eb="13">
      <t>ケイサン</t>
    </rPh>
    <phoneticPr fontId="3"/>
  </si>
  <si>
    <t>④と⑤の合計値と台数の積が記入されます。</t>
    <rPh sb="4" eb="7">
      <t>ゴウケイチ</t>
    </rPh>
    <rPh sb="8" eb="10">
      <t>ダイスウ</t>
    </rPh>
    <phoneticPr fontId="3"/>
  </si>
  <si>
    <t>⑦電力換算値</t>
    <phoneticPr fontId="3"/>
  </si>
  <si>
    <t>⑥と⑦の積の1000分の1（トン単位に換算）が記入されます。</t>
    <rPh sb="4" eb="5">
      <t>セキ</t>
    </rPh>
    <rPh sb="10" eb="11">
      <t>ブン</t>
    </rPh>
    <rPh sb="16" eb="18">
      <t>タンイ</t>
    </rPh>
    <rPh sb="19" eb="21">
      <t>カンサン</t>
    </rPh>
    <rPh sb="23" eb="25">
      <t>キニュウ</t>
    </rPh>
    <phoneticPr fontId="3"/>
  </si>
  <si>
    <t>⑪年間冷媒漏洩率</t>
    <rPh sb="1" eb="3">
      <t>ネンカン</t>
    </rPh>
    <rPh sb="3" eb="5">
      <t>レイバイ</t>
    </rPh>
    <rPh sb="5" eb="7">
      <t>ロウエイ</t>
    </rPh>
    <rPh sb="7" eb="8">
      <t>リツ</t>
    </rPh>
    <phoneticPr fontId="3"/>
  </si>
  <si>
    <t>⑫冷媒のGWP</t>
    <rPh sb="1" eb="3">
      <t>レイバイ</t>
    </rPh>
    <phoneticPr fontId="3"/>
  </si>
  <si>
    <t>⑭エネルギー起源CO2
削減量（年間）（注２）</t>
    <rPh sb="6" eb="8">
      <t>キゲン</t>
    </rPh>
    <rPh sb="12" eb="15">
      <t>サクゲンリョウ</t>
    </rPh>
    <rPh sb="16" eb="18">
      <t>ネンカン</t>
    </rPh>
    <rPh sb="20" eb="21">
      <t>チュウ</t>
    </rPh>
    <phoneticPr fontId="3"/>
  </si>
  <si>
    <t>合計削減量（年間）
（⑭＋⑮）</t>
    <rPh sb="0" eb="2">
      <t>ゴウケイ</t>
    </rPh>
    <rPh sb="2" eb="5">
      <t>サクゲンリョウ</t>
    </rPh>
    <rPh sb="6" eb="8">
      <t>ネンカン</t>
    </rPh>
    <phoneticPr fontId="3"/>
  </si>
  <si>
    <t>CO2削減効果計算書（全系統の集計シート）</t>
    <rPh sb="3" eb="5">
      <t>サクゲン</t>
    </rPh>
    <rPh sb="5" eb="7">
      <t>コウカ</t>
    </rPh>
    <rPh sb="7" eb="10">
      <t>ケイサンショ</t>
    </rPh>
    <rPh sb="11" eb="14">
      <t>ゼンケイトウ</t>
    </rPh>
    <rPh sb="15" eb="17">
      <t>シュウケイ</t>
    </rPh>
    <phoneticPr fontId="3"/>
  </si>
  <si>
    <t>系統No.（　　　　　）</t>
    <rPh sb="0" eb="2">
      <t>ケイトウ</t>
    </rPh>
    <phoneticPr fontId="3"/>
  </si>
  <si>
    <t>Ａ
脱炭素型
自然冷媒機器</t>
    <rPh sb="2" eb="3">
      <t>ダツ</t>
    </rPh>
    <rPh sb="3" eb="5">
      <t>タンソ</t>
    </rPh>
    <phoneticPr fontId="3"/>
  </si>
  <si>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3"/>
  </si>
  <si>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3"/>
  </si>
  <si>
    <t>CO2削減効果計算書（系統ごとの集計表）</t>
    <rPh sb="3" eb="5">
      <t>サクゲン</t>
    </rPh>
    <rPh sb="5" eb="7">
      <t>コウカ</t>
    </rPh>
    <rPh sb="7" eb="10">
      <t>ケイサンショ</t>
    </rPh>
    <rPh sb="11" eb="13">
      <t>ケイトウ</t>
    </rPh>
    <rPh sb="16" eb="18">
      <t>シュウケイ</t>
    </rPh>
    <rPh sb="18" eb="19">
      <t>ヒョウ</t>
    </rPh>
    <phoneticPr fontId="3"/>
  </si>
  <si>
    <t>（ウ）－（ア）</t>
    <phoneticPr fontId="3"/>
  </si>
  <si>
    <t>電力換算値として0.441を使用してください。</t>
    <rPh sb="0" eb="2">
      <t>デンリョク</t>
    </rPh>
    <rPh sb="2" eb="4">
      <t>カンサン</t>
    </rPh>
    <rPh sb="4" eb="5">
      <t>アタイ</t>
    </rPh>
    <rPh sb="14" eb="16">
      <t>シヨウ</t>
    </rPh>
    <phoneticPr fontId="3"/>
  </si>
  <si>
    <t>原則として、脱炭素型自然冷媒機器と比較対象フロン冷媒機器は同じ漏洩率を用いてください。産業構造審議会化学・バイオ部会地球温暖化防止対策小委員会（第２１回）資料1-1(別紙)「機器別新係数のまとめ及び国際比較」から当該装置に係る係数を記入してください。もしくは、実績等に基づく漏洩率が把握可能な場合には、実績等に基づく漏洩率を記入し、根拠となる資料を添付してください。</t>
    <rPh sb="0" eb="2">
      <t>ゲンソク</t>
    </rPh>
    <rPh sb="6" eb="7">
      <t>ダツ</t>
    </rPh>
    <rPh sb="7" eb="9">
      <t>タンソ</t>
    </rPh>
    <rPh sb="90" eb="91">
      <t>シン</t>
    </rPh>
    <rPh sb="91" eb="93">
      <t>ケイスウ</t>
    </rPh>
    <rPh sb="106" eb="108">
      <t>トウガイ</t>
    </rPh>
    <rPh sb="108" eb="110">
      <t>ソウチ</t>
    </rPh>
    <rPh sb="111" eb="112">
      <t>カカ</t>
    </rPh>
    <rPh sb="113" eb="115">
      <t>ケイスウ</t>
    </rPh>
    <rPh sb="116" eb="118">
      <t>キニュウ</t>
    </rPh>
    <rPh sb="132" eb="133">
      <t>ナド</t>
    </rPh>
    <rPh sb="134" eb="135">
      <t>モト</t>
    </rPh>
    <rPh sb="137" eb="139">
      <t>ロウエイ</t>
    </rPh>
    <rPh sb="139" eb="140">
      <t>リツ</t>
    </rPh>
    <rPh sb="141" eb="143">
      <t>ハアク</t>
    </rPh>
    <rPh sb="143" eb="145">
      <t>カノウ</t>
    </rPh>
    <rPh sb="146" eb="148">
      <t>バアイ</t>
    </rPh>
    <rPh sb="151" eb="153">
      <t>ジッセキ</t>
    </rPh>
    <rPh sb="153" eb="154">
      <t>ナド</t>
    </rPh>
    <rPh sb="155" eb="156">
      <t>モト</t>
    </rPh>
    <rPh sb="158" eb="160">
      <t>ロウエイ</t>
    </rPh>
    <rPh sb="160" eb="161">
      <t>リツ</t>
    </rPh>
    <rPh sb="162" eb="164">
      <t>キニュウ</t>
    </rPh>
    <rPh sb="166" eb="168">
      <t>コンキョ</t>
    </rPh>
    <rPh sb="171" eb="173">
      <t>シリョウ</t>
    </rPh>
    <rPh sb="174" eb="176">
      <t>テンプ</t>
    </rPh>
    <phoneticPr fontId="3"/>
  </si>
  <si>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3"/>
  </si>
  <si>
    <t>系統No.（　　）　－　集計表</t>
    <rPh sb="0" eb="2">
      <t>ケイトウ</t>
    </rPh>
    <rPh sb="12" eb="15">
      <t>シュウケイヒョウ</t>
    </rPh>
    <phoneticPr fontId="3"/>
  </si>
  <si>
    <t>（カ）－（エ）</t>
    <phoneticPr fontId="3"/>
  </si>
  <si>
    <t>（オ）－（エ）</t>
    <phoneticPr fontId="3"/>
  </si>
  <si>
    <t>－ 集計表</t>
    <rPh sb="2" eb="5">
      <t>シュウケイヒョウ</t>
    </rPh>
    <phoneticPr fontId="3"/>
  </si>
  <si>
    <t>合計エネルギー起源CO2</t>
    <rPh sb="0" eb="2">
      <t>ゴウケイ</t>
    </rPh>
    <rPh sb="7" eb="9">
      <t>キゲン</t>
    </rPh>
    <phoneticPr fontId="3"/>
  </si>
  <si>
    <t>合計冷媒漏洩CO2換算量</t>
    <rPh sb="0" eb="2">
      <t>ゴウケイ</t>
    </rPh>
    <rPh sb="2" eb="4">
      <t>レイバイ</t>
    </rPh>
    <rPh sb="4" eb="6">
      <t>ロウエイ</t>
    </rPh>
    <rPh sb="9" eb="11">
      <t>カンサン</t>
    </rPh>
    <rPh sb="11" eb="12">
      <t>リョウ</t>
    </rPh>
    <phoneticPr fontId="3"/>
  </si>
  <si>
    <t>エネルギー起源CO2
削減量（年間）</t>
    <rPh sb="5" eb="7">
      <t>キゲン</t>
    </rPh>
    <rPh sb="11" eb="14">
      <t>サクゲンリョウ</t>
    </rPh>
    <rPh sb="15" eb="17">
      <t>ネンカン</t>
    </rPh>
    <phoneticPr fontId="3"/>
  </si>
  <si>
    <t xml:space="preserve">冷媒漏洩CO2換算
削減量（年間）
</t>
    <rPh sb="0" eb="2">
      <t>レイバイ</t>
    </rPh>
    <rPh sb="2" eb="4">
      <t>ロウエイ</t>
    </rPh>
    <rPh sb="7" eb="9">
      <t>カンサン</t>
    </rPh>
    <rPh sb="10" eb="13">
      <t>サクゲンリョウ</t>
    </rPh>
    <rPh sb="14" eb="16">
      <t>ネンカン</t>
    </rPh>
    <phoneticPr fontId="3"/>
  </si>
  <si>
    <t>合計削減量（年間）</t>
    <rPh sb="0" eb="2">
      <t>ゴウケイ</t>
    </rPh>
    <rPh sb="2" eb="5">
      <t>サクゲンリョウ</t>
    </rPh>
    <rPh sb="6" eb="8">
      <t>ネンカン</t>
    </rPh>
    <phoneticPr fontId="3"/>
  </si>
  <si>
    <t>「Ｃ撤去する既存機器」</t>
    <rPh sb="2" eb="4">
      <t>テッキョ</t>
    </rPh>
    <rPh sb="6" eb="8">
      <t>キゾン</t>
    </rPh>
    <rPh sb="8" eb="10">
      <t>キキ</t>
    </rPh>
    <phoneticPr fontId="3"/>
  </si>
  <si>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3"/>
  </si>
  <si>
    <t>「Ａ脱炭素型自然冷媒機器」及び
「Ｂ比較対象フロン冷媒機器」</t>
    <rPh sb="13" eb="14">
      <t>オヨ</t>
    </rPh>
    <rPh sb="18" eb="20">
      <t>ヒカク</t>
    </rPh>
    <rPh sb="20" eb="22">
      <t>タイショウ</t>
    </rPh>
    <rPh sb="25" eb="27">
      <t>レイバイ</t>
    </rPh>
    <rPh sb="27" eb="29">
      <t>キキ</t>
    </rPh>
    <phoneticPr fontId="3"/>
  </si>
  <si>
    <t>合計削減量</t>
    <phoneticPr fontId="3"/>
  </si>
  <si>
    <t>冷却負荷（同系統の合計値）</t>
    <rPh sb="0" eb="2">
      <t>レイキャク</t>
    </rPh>
    <rPh sb="2" eb="4">
      <t>フカ</t>
    </rPh>
    <phoneticPr fontId="3"/>
  </si>
  <si>
    <t>冷凍能力(同系統の合計値)</t>
    <rPh sb="0" eb="2">
      <t>レイトウ</t>
    </rPh>
    <rPh sb="2" eb="4">
      <t>ノウリョク</t>
    </rPh>
    <phoneticPr fontId="3"/>
  </si>
  <si>
    <t>合計エネルギー起源CO2
(同系統の合計値)</t>
    <rPh sb="0" eb="2">
      <t>ゴウケイ</t>
    </rPh>
    <rPh sb="7" eb="9">
      <t>キゲン</t>
    </rPh>
    <phoneticPr fontId="3"/>
  </si>
  <si>
    <t>合計冷媒漏洩CO2換算量
(同系統の合計値)</t>
    <rPh sb="0" eb="2">
      <t>ゴウケイ</t>
    </rPh>
    <rPh sb="2" eb="4">
      <t>レイバイ</t>
    </rPh>
    <rPh sb="4" eb="6">
      <t>ロウエイ</t>
    </rPh>
    <rPh sb="9" eb="11">
      <t>カンサン</t>
    </rPh>
    <rPh sb="11" eb="12">
      <t>リョウ</t>
    </rPh>
    <phoneticPr fontId="3"/>
  </si>
  <si>
    <t>⑩合計冷媒保有量（⑨×台数）</t>
    <rPh sb="1" eb="3">
      <t>ゴウケイ</t>
    </rPh>
    <rPh sb="3" eb="5">
      <t>レイバイ</t>
    </rPh>
    <rPh sb="5" eb="8">
      <t>ホユウリョウ</t>
    </rPh>
    <phoneticPr fontId="3"/>
  </si>
  <si>
    <t>⑬合計冷媒漏洩CO2換算量
　（⑩×⑪×⑫／1000）</t>
    <rPh sb="1" eb="3">
      <t>ゴウケイ</t>
    </rPh>
    <rPh sb="3" eb="5">
      <t>レイバイ</t>
    </rPh>
    <rPh sb="5" eb="7">
      <t>ロウエイ</t>
    </rPh>
    <rPh sb="10" eb="12">
      <t>カンサン</t>
    </rPh>
    <rPh sb="12" eb="13">
      <t>リョウ</t>
    </rPh>
    <phoneticPr fontId="3"/>
  </si>
  <si>
    <t>蒸発温度または冷水出口温度</t>
    <rPh sb="0" eb="2">
      <t>ジョウハツ</t>
    </rPh>
    <rPh sb="2" eb="4">
      <t>オンド</t>
    </rPh>
    <rPh sb="7" eb="9">
      <t>レイスイ</t>
    </rPh>
    <rPh sb="9" eb="11">
      <t>デグチ</t>
    </rPh>
    <rPh sb="11" eb="13">
      <t>オンド</t>
    </rPh>
    <phoneticPr fontId="3"/>
  </si>
  <si>
    <t>⑥合計年間消費電力</t>
    <rPh sb="1" eb="3">
      <t>ゴウケイ</t>
    </rPh>
    <rPh sb="3" eb="5">
      <t>ネンカン</t>
    </rPh>
    <rPh sb="5" eb="7">
      <t>ショウヒ</t>
    </rPh>
    <rPh sb="7" eb="8">
      <t>デン</t>
    </rPh>
    <phoneticPr fontId="3"/>
  </si>
  <si>
    <t>⑧合計エネルギー起源CO2
　（⑥×⑦／1000）　</t>
    <rPh sb="1" eb="3">
      <t>ゴウケイ</t>
    </rPh>
    <rPh sb="8" eb="10">
      <t>キゲン</t>
    </rPh>
    <phoneticPr fontId="3"/>
  </si>
  <si>
    <t>冷媒保有量の合計値が自動計算されます。</t>
    <rPh sb="0" eb="2">
      <t>レイバイ</t>
    </rPh>
    <rPh sb="2" eb="4">
      <t>ホユウ</t>
    </rPh>
    <rPh sb="4" eb="5">
      <t>リョウ</t>
    </rPh>
    <rPh sb="6" eb="9">
      <t>ゴウケイチ</t>
    </rPh>
    <rPh sb="10" eb="12">
      <t>ジドウ</t>
    </rPh>
    <rPh sb="12" eb="14">
      <t>ケイサン</t>
    </rPh>
    <phoneticPr fontId="3"/>
  </si>
  <si>
    <t>NH3/CO2</t>
    <phoneticPr fontId="3"/>
  </si>
  <si>
    <t>R404A</t>
  </si>
  <si>
    <t>R407C</t>
  </si>
  <si>
    <t>R410A</t>
  </si>
  <si>
    <t>R134ａ</t>
  </si>
  <si>
    <t>R23</t>
  </si>
  <si>
    <t>R404A/R23</t>
  </si>
  <si>
    <t>凝縮温度または外気温度</t>
    <rPh sb="0" eb="2">
      <t>ギョウシュク</t>
    </rPh>
    <rPh sb="2" eb="4">
      <t>オンド</t>
    </rPh>
    <rPh sb="7" eb="9">
      <t>ガイキ</t>
    </rPh>
    <rPh sb="9" eb="11">
      <t>オンド</t>
    </rPh>
    <phoneticPr fontId="3"/>
  </si>
  <si>
    <t>⑭エネルギー起源CO2削減量
（年間）</t>
    <rPh sb="6" eb="8">
      <t>キゲン</t>
    </rPh>
    <rPh sb="11" eb="14">
      <t>サクゲンリョウ</t>
    </rPh>
    <rPh sb="16" eb="18">
      <t>ネンカン</t>
    </rPh>
    <phoneticPr fontId="3"/>
  </si>
  <si>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3"/>
  </si>
  <si>
    <t>⑮冷媒漏洩CO2換算削減量
（年間）</t>
    <rPh sb="1" eb="3">
      <t>レイバイ</t>
    </rPh>
    <rPh sb="3" eb="5">
      <t>ロウエイ</t>
    </rPh>
    <rPh sb="8" eb="10">
      <t>カンサン</t>
    </rPh>
    <rPh sb="10" eb="13">
      <t>サクゲンリョウ</t>
    </rPh>
    <rPh sb="15" eb="17">
      <t>ネンカン</t>
    </rPh>
    <phoneticPr fontId="3"/>
  </si>
  <si>
    <t>⑮冷媒漏洩ＣＯ２換算
削減量（年間）</t>
    <rPh sb="1" eb="3">
      <t>レイバイ</t>
    </rPh>
    <rPh sb="3" eb="5">
      <t>ロウエイ</t>
    </rPh>
    <rPh sb="8" eb="10">
      <t>カンサン</t>
    </rPh>
    <rPh sb="11" eb="14">
      <t>サクゲンリョウ</t>
    </rPh>
    <rPh sb="15" eb="17">
      <t>ネンカン</t>
    </rPh>
    <phoneticPr fontId="3"/>
  </si>
  <si>
    <t>Ａ
脱炭素型自然冷媒機器</t>
    <rPh sb="2" eb="3">
      <t>ダツ</t>
    </rPh>
    <rPh sb="3" eb="5">
      <t>タンソ</t>
    </rPh>
    <phoneticPr fontId="3"/>
  </si>
  <si>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3"/>
  </si>
  <si>
    <r>
      <t xml:space="preserve">冷凍能力
</t>
    </r>
    <r>
      <rPr>
        <b/>
        <sz val="11"/>
        <rFont val="ＭＳ Ｐゴシック"/>
        <family val="3"/>
        <charset val="128"/>
      </rPr>
      <t>（１台あたりの値）</t>
    </r>
    <phoneticPr fontId="3"/>
  </si>
  <si>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3"/>
  </si>
  <si>
    <r>
      <t xml:space="preserve">②年間稼働時間
</t>
    </r>
    <r>
      <rPr>
        <b/>
        <sz val="11"/>
        <rFont val="ＭＳ Ｐゴシック"/>
        <family val="3"/>
        <charset val="128"/>
      </rPr>
      <t>（１台あたりの値）</t>
    </r>
    <rPh sb="1" eb="3">
      <t>ネンカン</t>
    </rPh>
    <rPh sb="3" eb="5">
      <t>カドウ</t>
    </rPh>
    <rPh sb="5" eb="7">
      <t>ジカン</t>
    </rPh>
    <phoneticPr fontId="3"/>
  </si>
  <si>
    <t>※型番ごとにシートを複数作成して記入してください。</t>
    <rPh sb="1" eb="3">
      <t>カタバン</t>
    </rPh>
    <rPh sb="10" eb="12">
      <t>フクスウ</t>
    </rPh>
    <rPh sb="12" eb="14">
      <t>サクセイ</t>
    </rPh>
    <rPh sb="16" eb="18">
      <t>キニュウ</t>
    </rPh>
    <phoneticPr fontId="3"/>
  </si>
  <si>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3"/>
  </si>
  <si>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3"/>
  </si>
  <si>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3"/>
  </si>
  <si>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3"/>
  </si>
  <si>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3"/>
  </si>
  <si>
    <t>（ス）欄に記載した
値の内訳</t>
    <phoneticPr fontId="3"/>
  </si>
  <si>
    <t>（ス）欄に記載した
値の内訳</t>
    <rPh sb="3" eb="4">
      <t>ラン</t>
    </rPh>
    <rPh sb="5" eb="7">
      <t>キサイ</t>
    </rPh>
    <rPh sb="12" eb="14">
      <t>ウチワケ</t>
    </rPh>
    <phoneticPr fontId="3"/>
  </si>
  <si>
    <t>（ク）＋（サ）</t>
    <phoneticPr fontId="3"/>
  </si>
  <si>
    <t>（ケ）＋（シ）</t>
    <phoneticPr fontId="3"/>
  </si>
  <si>
    <t>（セ）、（ソ）欄のうち
大きい方の値</t>
    <rPh sb="7" eb="8">
      <t>ラン</t>
    </rPh>
    <rPh sb="12" eb="13">
      <t>オオ</t>
    </rPh>
    <rPh sb="15" eb="16">
      <t>ホウ</t>
    </rPh>
    <rPh sb="17" eb="18">
      <t>アタイ</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</si>
  <si>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</si>
  <si>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</si>
  <si>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3"/>
  </si>
  <si>
    <t>↑この列の(キ)、(コ)欄には、
・(ス)の値が(セ)の場合は、　(ク)､(サ)の値を記入する。
・(ス)の値が(ソ)の場合は、　(ケ)､(シ)の値を記入する。</t>
    <phoneticPr fontId="3"/>
  </si>
  <si>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3"/>
  </si>
  <si>
    <t>↑「Ａ脱炭素型自然冷媒機器」と「Ｃ撤去する既存機器」の差による削減量
※新規機器で既存装置がない場合は記入不要。</t>
    <rPh sb="38" eb="40">
      <t>キキ</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</si>
  <si>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</si>
  <si>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</si>
  <si>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3"/>
  </si>
  <si>
    <t>冷媒漏洩ＣＯ２換算
削減量（年間）</t>
    <rPh sb="0" eb="2">
      <t>レイバイ</t>
    </rPh>
    <rPh sb="2" eb="4">
      <t>ロウエイ</t>
    </rPh>
    <rPh sb="7" eb="9">
      <t>カンサン</t>
    </rPh>
    <rPh sb="10" eb="13">
      <t>サクゲンリョウ</t>
    </rPh>
    <rPh sb="14" eb="16">
      <t>ネンカン</t>
    </rPh>
    <phoneticPr fontId="3"/>
  </si>
  <si>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3"/>
  </si>
  <si>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3"/>
  </si>
  <si>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3"/>
  </si>
  <si>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3"/>
  </si>
  <si>
    <r>
      <t>冷凍能力
　</t>
    </r>
    <r>
      <rPr>
        <b/>
        <sz val="12"/>
        <rFont val="ＭＳ Ｐゴシック"/>
        <family val="3"/>
        <charset val="128"/>
      </rPr>
      <t>（１台あたりの値）</t>
    </r>
    <phoneticPr fontId="3"/>
  </si>
  <si>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3"/>
  </si>
  <si>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3"/>
  </si>
  <si>
    <t>⑥合計年間消費電力
　（(④+⑤)×台数）</t>
    <rPh sb="1" eb="3">
      <t>ゴウケイ</t>
    </rPh>
    <rPh sb="3" eb="5">
      <t>ネンカン</t>
    </rPh>
    <rPh sb="5" eb="7">
      <t>ショウヒ</t>
    </rPh>
    <rPh sb="7" eb="9">
      <t>デンリョク</t>
    </rPh>
    <rPh sb="18" eb="20">
      <t>ダイスウ</t>
    </rPh>
    <phoneticPr fontId="3"/>
  </si>
  <si>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3"/>
  </si>
  <si>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3"/>
  </si>
  <si>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3"/>
  </si>
  <si>
    <t>自動計算</t>
  </si>
  <si>
    <t>③年間平均負荷率</t>
    <rPh sb="1" eb="3">
      <t>ネンカン</t>
    </rPh>
    <rPh sb="3" eb="5">
      <t>ヘイキン</t>
    </rPh>
    <rPh sb="5" eb="8">
      <t>フカリツ</t>
    </rPh>
    <phoneticPr fontId="3"/>
  </si>
  <si>
    <t>系統No.（　　　　）</t>
    <rPh sb="0" eb="2">
      <t>ケイトウ</t>
    </rPh>
    <phoneticPr fontId="3"/>
  </si>
  <si>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3"/>
  </si>
  <si>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3"/>
  </si>
  <si>
    <t>冷却方式　（※２）</t>
    <rPh sb="0" eb="2">
      <t>レイキャク</t>
    </rPh>
    <rPh sb="2" eb="4">
      <t>ホウシキ</t>
    </rPh>
    <phoneticPr fontId="3"/>
  </si>
  <si>
    <t>冷媒　（※２）（※３）</t>
    <rPh sb="0" eb="2">
      <t>レイバイ</t>
    </rPh>
    <phoneticPr fontId="3"/>
  </si>
  <si>
    <t>凝縮温度または外気温度　（※２）</t>
    <rPh sb="0" eb="2">
      <t>ギョウシュク</t>
    </rPh>
    <rPh sb="2" eb="4">
      <t>オンド</t>
    </rPh>
    <rPh sb="7" eb="9">
      <t>ガイキ</t>
    </rPh>
    <rPh sb="9" eb="11">
      <t>オンド</t>
    </rPh>
    <phoneticPr fontId="3"/>
  </si>
  <si>
    <t>（※１）申請内容については、申請者が責を負います。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73" eb="75">
      <t>シチュウ</t>
    </rPh>
    <rPh sb="76" eb="79">
      <t>ヘイキンチ</t>
    </rPh>
    <rPh sb="80" eb="82">
      <t>ジドウ</t>
    </rPh>
    <rPh sb="82" eb="84">
      <t>ケイサン</t>
    </rPh>
    <rPh sb="100" eb="102">
      <t>レイバイ</t>
    </rPh>
    <rPh sb="102" eb="103">
      <t>シュ</t>
    </rPh>
    <rPh sb="106" eb="108">
      <t>シュッカ</t>
    </rPh>
    <rPh sb="108" eb="110">
      <t>ダイスウ</t>
    </rPh>
    <rPh sb="111" eb="112">
      <t>カク</t>
    </rPh>
    <rPh sb="112" eb="114">
      <t>レイバイ</t>
    </rPh>
    <rPh sb="120" eb="122">
      <t>カジュウ</t>
    </rPh>
    <rPh sb="122" eb="124">
      <t>ヘイキン</t>
    </rPh>
    <rPh sb="126" eb="128">
      <t>ブンセキ</t>
    </rPh>
    <rPh sb="128" eb="129">
      <t>チ</t>
    </rPh>
    <phoneticPr fontId="3"/>
  </si>
  <si>
    <t>全体集計表</t>
    <rPh sb="0" eb="2">
      <t>ゼンタイ</t>
    </rPh>
    <rPh sb="2" eb="5">
      <t>シュウケイヒョウ</t>
    </rPh>
    <phoneticPr fontId="3"/>
  </si>
  <si>
    <t xml:space="preserve">系統ごと集計表
</t>
    <rPh sb="0" eb="2">
      <t>ケイトウ</t>
    </rPh>
    <rPh sb="4" eb="7">
      <t>シュウケイヒョウ</t>
    </rPh>
    <phoneticPr fontId="3"/>
  </si>
  <si>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3"/>
  </si>
  <si>
    <t>－型式No.(     )</t>
    <rPh sb="2" eb="3">
      <t>シキ</t>
    </rPh>
    <phoneticPr fontId="3"/>
  </si>
  <si>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3"/>
  </si>
  <si>
    <t>型式</t>
    <rPh sb="0" eb="2">
      <t>カタシキ</t>
    </rPh>
    <phoneticPr fontId="3"/>
  </si>
  <si>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3"/>
  </si>
  <si>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3"/>
  </si>
  <si>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3"/>
  </si>
  <si>
    <t>年間平均負荷率の算出根拠</t>
    <rPh sb="0" eb="2">
      <t>ネンカン</t>
    </rPh>
    <rPh sb="2" eb="4">
      <t>ネンヘイキン</t>
    </rPh>
    <rPh sb="4" eb="6">
      <t>フカ</t>
    </rPh>
    <rPh sb="6" eb="7">
      <t>リツ</t>
    </rPh>
    <rPh sb="8" eb="10">
      <t>サンシュツ</t>
    </rPh>
    <rPh sb="10" eb="12">
      <t>コンキョ</t>
    </rPh>
    <phoneticPr fontId="22"/>
  </si>
  <si>
    <t>平均負荷率</t>
    <rPh sb="0" eb="2">
      <t>ネンヘイキン</t>
    </rPh>
    <rPh sb="2" eb="4">
      <t>フカ</t>
    </rPh>
    <rPh sb="4" eb="5">
      <t>リツ</t>
    </rPh>
    <phoneticPr fontId="3"/>
  </si>
  <si>
    <t>冷却負荷（同一系統の合計値）</t>
    <phoneticPr fontId="3"/>
  </si>
  <si>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3"/>
  </si>
  <si>
    <t>冷却負荷の按分値（kW）</t>
  </si>
  <si>
    <t>冷凍能力（kW）</t>
    <rPh sb="0" eb="2">
      <t>レイトウ</t>
    </rPh>
    <rPh sb="2" eb="4">
      <t>ノウリョク</t>
    </rPh>
    <phoneticPr fontId="3"/>
  </si>
  <si>
    <t>系統ごとの平均負荷率（％）
　（１台あたりの値）</t>
    <rPh sb="0" eb="2">
      <t>ケイトウ</t>
    </rPh>
    <rPh sb="5" eb="7">
      <t>ヘイキン</t>
    </rPh>
    <rPh sb="7" eb="9">
      <t>フカ</t>
    </rPh>
    <rPh sb="9" eb="10">
      <t>リツ</t>
    </rPh>
    <phoneticPr fontId="3"/>
  </si>
  <si>
    <t>①</t>
    <phoneticPr fontId="3"/>
  </si>
  <si>
    <t>系統No.（　　　　　）</t>
  </si>
  <si>
    <t>型式No.(     )</t>
    <rPh sb="1" eb="2">
      <t>シキ</t>
    </rPh>
    <phoneticPr fontId="3"/>
  </si>
  <si>
    <t>÷</t>
    <phoneticPr fontId="3"/>
  </si>
  <si>
    <t>×</t>
    <phoneticPr fontId="3"/>
  </si>
  <si>
    <t>②</t>
    <phoneticPr fontId="3"/>
  </si>
  <si>
    <t>年間平均負荷率</t>
    <rPh sb="0" eb="2">
      <t>ネンカン</t>
    </rPh>
    <rPh sb="2" eb="4">
      <t>ヘイキン</t>
    </rPh>
    <rPh sb="4" eb="6">
      <t>フカ</t>
    </rPh>
    <rPh sb="6" eb="7">
      <t>リツ</t>
    </rPh>
    <phoneticPr fontId="3"/>
  </si>
  <si>
    <t>平均負荷率（％）</t>
    <rPh sb="0" eb="2">
      <t>ヘイキン</t>
    </rPh>
    <rPh sb="2" eb="4">
      <t>フカ</t>
    </rPh>
    <rPh sb="4" eb="5">
      <t>リツ</t>
    </rPh>
    <phoneticPr fontId="3"/>
  </si>
  <si>
    <t>冷凍機の
年間平均稼働率（％）</t>
    <rPh sb="0" eb="2">
      <t>レイトウ</t>
    </rPh>
    <rPh sb="2" eb="3">
      <t>キ</t>
    </rPh>
    <rPh sb="5" eb="7">
      <t>ネンカン</t>
    </rPh>
    <rPh sb="7" eb="9">
      <t>ヘイキン</t>
    </rPh>
    <rPh sb="9" eb="11">
      <t>カドウ</t>
    </rPh>
    <rPh sb="11" eb="12">
      <t>リツ</t>
    </rPh>
    <phoneticPr fontId="3"/>
  </si>
  <si>
    <t>年間平均負荷率（％）</t>
    <rPh sb="0" eb="2">
      <t>ネンカン</t>
    </rPh>
    <rPh sb="2" eb="4">
      <t>ヘイキン</t>
    </rPh>
    <rPh sb="4" eb="6">
      <t>フカ</t>
    </rPh>
    <rPh sb="6" eb="7">
      <t>リツ</t>
    </rPh>
    <phoneticPr fontId="3"/>
  </si>
  <si>
    <t>＝</t>
    <phoneticPr fontId="3"/>
  </si>
  <si>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22"/>
  </si>
  <si>
    <t>系統No.（　　　　）</t>
    <phoneticPr fontId="3"/>
  </si>
  <si>
    <t>℃</t>
    <phoneticPr fontId="22"/>
  </si>
  <si>
    <t>●●県</t>
    <rPh sb="2" eb="3">
      <t>ケン</t>
    </rPh>
    <phoneticPr fontId="22"/>
  </si>
  <si>
    <t>●●市</t>
    <rPh sb="2" eb="3">
      <t>シ</t>
    </rPh>
    <phoneticPr fontId="22"/>
  </si>
  <si>
    <t>　2022年度の</t>
    <rPh sb="5" eb="6">
      <t>ネン</t>
    </rPh>
    <phoneticPr fontId="22"/>
  </si>
  <si>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3"/>
  </si>
  <si>
    <t>2022年度</t>
    <rPh sb="4" eb="6">
      <t>ネンド</t>
    </rPh>
    <phoneticPr fontId="3"/>
  </si>
  <si>
    <t>稼働率</t>
    <rPh sb="0" eb="2">
      <t>カドウ</t>
    </rPh>
    <rPh sb="2" eb="3">
      <t>リツ</t>
    </rPh>
    <phoneticPr fontId="22"/>
  </si>
  <si>
    <t>％</t>
    <phoneticPr fontId="22"/>
  </si>
  <si>
    <t>1月</t>
    <rPh sb="1" eb="2">
      <t>ガツ</t>
    </rPh>
    <phoneticPr fontId="22"/>
  </si>
  <si>
    <t>2月</t>
    <rPh sb="1" eb="2">
      <t>ガツ</t>
    </rPh>
    <phoneticPr fontId="22"/>
  </si>
  <si>
    <t>3月</t>
    <rPh sb="1" eb="2">
      <t>ガツ</t>
    </rPh>
    <phoneticPr fontId="22"/>
  </si>
  <si>
    <t>4月</t>
  </si>
  <si>
    <t>5月</t>
  </si>
  <si>
    <t>6月</t>
  </si>
  <si>
    <t>7月</t>
  </si>
  <si>
    <t>8月</t>
  </si>
  <si>
    <t>9月</t>
  </si>
  <si>
    <t>10月</t>
  </si>
  <si>
    <t>11月</t>
  </si>
  <si>
    <t>12月</t>
  </si>
  <si>
    <t>年間平均稼働率（％）</t>
    <rPh sb="0" eb="2">
      <t>ネンカン</t>
    </rPh>
    <rPh sb="2" eb="4">
      <t>ヘイキン</t>
    </rPh>
    <rPh sb="4" eb="6">
      <t>カドウ</t>
    </rPh>
    <rPh sb="6" eb="7">
      <t>リツ</t>
    </rPh>
    <phoneticPr fontId="3"/>
  </si>
  <si>
    <t>外気温度</t>
    <rPh sb="0" eb="2">
      <t>ガイキ</t>
    </rPh>
    <rPh sb="2" eb="4">
      <t>オンド</t>
    </rPh>
    <phoneticPr fontId="3"/>
  </si>
  <si>
    <t>湿球温度</t>
    <rPh sb="0" eb="2">
      <t>シッキュウ</t>
    </rPh>
    <rPh sb="2" eb="4">
      <t>オンド</t>
    </rPh>
    <phoneticPr fontId="3"/>
  </si>
  <si>
    <t>負荷率計算書</t>
    <phoneticPr fontId="3"/>
  </si>
  <si>
    <t>出力値</t>
    <rPh sb="0" eb="2">
      <t>シュツリョク</t>
    </rPh>
    <rPh sb="2" eb="3">
      <t>チ</t>
    </rPh>
    <phoneticPr fontId="3"/>
  </si>
  <si>
    <t>※Cは外気温度32度または凝縮温度40℃（冷却水温度32℃）の冷凍能力を100％にした場合の消費電力の補正率に修正</t>
    <rPh sb="3" eb="5">
      <t>ガイキ</t>
    </rPh>
    <rPh sb="5" eb="7">
      <t>オンド</t>
    </rPh>
    <rPh sb="9" eb="10">
      <t>ド</t>
    </rPh>
    <rPh sb="55" eb="57">
      <t>シュウセイ</t>
    </rPh>
    <phoneticPr fontId="3"/>
  </si>
  <si>
    <t>蒸発温度または冷却水温度</t>
    <rPh sb="0" eb="2">
      <t>ジョウハツ</t>
    </rPh>
    <rPh sb="2" eb="4">
      <t>オンド</t>
    </rPh>
    <rPh sb="7" eb="10">
      <t>レイキャクスイ</t>
    </rPh>
    <rPh sb="10" eb="12">
      <t>オンド</t>
    </rPh>
    <phoneticPr fontId="3"/>
  </si>
  <si>
    <t>周囲温度</t>
    <rPh sb="0" eb="2">
      <t>シュウイ</t>
    </rPh>
    <rPh sb="2" eb="4">
      <t>オンド</t>
    </rPh>
    <phoneticPr fontId="3"/>
  </si>
  <si>
    <t>C=B*100/A</t>
    <phoneticPr fontId="3"/>
  </si>
  <si>
    <t>消費電力</t>
    <rPh sb="0" eb="2">
      <t>ショウヒ</t>
    </rPh>
    <rPh sb="2" eb="4">
      <t>デンリョク</t>
    </rPh>
    <phoneticPr fontId="3"/>
  </si>
  <si>
    <t>A</t>
    <phoneticPr fontId="3"/>
  </si>
  <si>
    <t>B</t>
    <phoneticPr fontId="3"/>
  </si>
  <si>
    <t>C</t>
    <phoneticPr fontId="3"/>
  </si>
  <si>
    <t>空冷式</t>
    <rPh sb="0" eb="3">
      <t>クウレイシキ</t>
    </rPh>
    <phoneticPr fontId="3"/>
  </si>
  <si>
    <t>能力変化率%</t>
    <rPh sb="0" eb="2">
      <t>ノウリョク</t>
    </rPh>
    <rPh sb="2" eb="4">
      <t>ヘンカ</t>
    </rPh>
    <rPh sb="4" eb="5">
      <t>リツ</t>
    </rPh>
    <phoneticPr fontId="3"/>
  </si>
  <si>
    <t>電力変化率%</t>
    <rPh sb="0" eb="2">
      <t>デンリョク</t>
    </rPh>
    <rPh sb="2" eb="4">
      <t>ヘンカ</t>
    </rPh>
    <rPh sb="4" eb="5">
      <t>リツ</t>
    </rPh>
    <phoneticPr fontId="3"/>
  </si>
  <si>
    <t xml:space="preserve">外気温度補正率% </t>
    <rPh sb="0" eb="2">
      <t>ガイキ</t>
    </rPh>
    <rPh sb="2" eb="4">
      <t>オンド</t>
    </rPh>
    <rPh sb="4" eb="6">
      <t>ホセイ</t>
    </rPh>
    <rPh sb="6" eb="7">
      <t>リツ</t>
    </rPh>
    <phoneticPr fontId="22"/>
  </si>
  <si>
    <t>能力変化率</t>
    <rPh sb="0" eb="2">
      <t>ノウリョク</t>
    </rPh>
    <rPh sb="2" eb="4">
      <t>ヘンカ</t>
    </rPh>
    <rPh sb="4" eb="5">
      <t>リツ</t>
    </rPh>
    <phoneticPr fontId="3"/>
  </si>
  <si>
    <t>電力変化率</t>
    <rPh sb="0" eb="2">
      <t>デンリョク</t>
    </rPh>
    <rPh sb="2" eb="4">
      <t>ヘンカ</t>
    </rPh>
    <rPh sb="4" eb="5">
      <t>リツ</t>
    </rPh>
    <phoneticPr fontId="3"/>
  </si>
  <si>
    <t>1月</t>
    <rPh sb="1" eb="2">
      <t>ガツ</t>
    </rPh>
    <phoneticPr fontId="3"/>
  </si>
  <si>
    <t>2月</t>
    <rPh sb="1" eb="2">
      <t>ガツ</t>
    </rPh>
    <phoneticPr fontId="3"/>
  </si>
  <si>
    <t>3月</t>
  </si>
  <si>
    <t>年間外気補正率%</t>
    <rPh sb="0" eb="2">
      <t>ネンカン</t>
    </rPh>
    <rPh sb="2" eb="4">
      <t>ガイキ</t>
    </rPh>
    <rPh sb="4" eb="6">
      <t>ホセイ</t>
    </rPh>
    <rPh sb="6" eb="7">
      <t>リツ</t>
    </rPh>
    <phoneticPr fontId="3"/>
  </si>
  <si>
    <t>データーベース</t>
    <phoneticPr fontId="3"/>
  </si>
  <si>
    <t>呼称出力</t>
    <rPh sb="0" eb="2">
      <t>コショウ</t>
    </rPh>
    <rPh sb="2" eb="4">
      <t>シュツリョク</t>
    </rPh>
    <phoneticPr fontId="3"/>
  </si>
  <si>
    <t>空冷式　外気温度補正</t>
    <rPh sb="0" eb="3">
      <t>クウレイシキ</t>
    </rPh>
    <rPh sb="4" eb="6">
      <t>ガイキ</t>
    </rPh>
    <rPh sb="6" eb="8">
      <t>オンド</t>
    </rPh>
    <rPh sb="8" eb="10">
      <t>ホセイ</t>
    </rPh>
    <phoneticPr fontId="3"/>
  </si>
  <si>
    <t>37ｋW以下</t>
    <rPh sb="4" eb="6">
      <t>イカ</t>
    </rPh>
    <phoneticPr fontId="3"/>
  </si>
  <si>
    <t>能力変化率％</t>
    <rPh sb="0" eb="2">
      <t>ノウリョク</t>
    </rPh>
    <rPh sb="2" eb="4">
      <t>ヘンカ</t>
    </rPh>
    <rPh sb="4" eb="5">
      <t>リツ</t>
    </rPh>
    <phoneticPr fontId="3"/>
  </si>
  <si>
    <t>条件</t>
    <rPh sb="0" eb="2">
      <t>ジョウケン</t>
    </rPh>
    <phoneticPr fontId="3"/>
  </si>
  <si>
    <t>20℃以下は、20℃と同じと仮定</t>
    <rPh sb="2" eb="5">
      <t>ドイカ</t>
    </rPh>
    <rPh sb="11" eb="12">
      <t>オナ</t>
    </rPh>
    <rPh sb="14" eb="16">
      <t>カテイ</t>
    </rPh>
    <phoneticPr fontId="3"/>
  </si>
  <si>
    <t>40℃以上は40℃と同じと仮定</t>
    <rPh sb="3" eb="4">
      <t>イ</t>
    </rPh>
    <rPh sb="4" eb="5">
      <t>ジョウ</t>
    </rPh>
    <rPh sb="10" eb="11">
      <t>オナ</t>
    </rPh>
    <rPh sb="13" eb="15">
      <t>カテイ</t>
    </rPh>
    <phoneticPr fontId="3"/>
  </si>
  <si>
    <t>電力変化率％</t>
    <rPh sb="0" eb="2">
      <t>デンリョク</t>
    </rPh>
    <rPh sb="2" eb="4">
      <t>ヘンカ</t>
    </rPh>
    <rPh sb="4" eb="5">
      <t>リツ</t>
    </rPh>
    <phoneticPr fontId="3"/>
  </si>
  <si>
    <t>37ｋW　以上</t>
    <rPh sb="5" eb="7">
      <t>イジョウ</t>
    </rPh>
    <phoneticPr fontId="3"/>
  </si>
  <si>
    <t>25℃以下は、25℃と同じと仮定</t>
    <rPh sb="2" eb="5">
      <t>ドイカ</t>
    </rPh>
    <rPh sb="11" eb="12">
      <t>オナ</t>
    </rPh>
    <rPh sb="14" eb="16">
      <t>カテイ</t>
    </rPh>
    <phoneticPr fontId="3"/>
  </si>
  <si>
    <t>35℃以上は、35℃と同じと仮定</t>
    <rPh sb="3" eb="4">
      <t>イ</t>
    </rPh>
    <rPh sb="4" eb="5">
      <t>ジョウ</t>
    </rPh>
    <rPh sb="11" eb="12">
      <t>オナ</t>
    </rPh>
    <rPh sb="14" eb="16">
      <t>カテイ</t>
    </rPh>
    <phoneticPr fontId="3"/>
  </si>
  <si>
    <t>水冷式　外気温度補正</t>
    <rPh sb="0" eb="3">
      <t>スイレイシキ</t>
    </rPh>
    <rPh sb="4" eb="6">
      <t>ガイキ</t>
    </rPh>
    <rPh sb="6" eb="8">
      <t>オンド</t>
    </rPh>
    <rPh sb="8" eb="10">
      <t>ホセイ</t>
    </rPh>
    <phoneticPr fontId="3"/>
  </si>
  <si>
    <t>凝縮温度</t>
    <rPh sb="0" eb="2">
      <t>ギョウシュク</t>
    </rPh>
    <rPh sb="2" eb="4">
      <t>オンド</t>
    </rPh>
    <phoneticPr fontId="3"/>
  </si>
  <si>
    <t>湿球温度</t>
    <rPh sb="0" eb="1">
      <t>シツ</t>
    </rPh>
    <rPh sb="1" eb="2">
      <t>キュウ</t>
    </rPh>
    <rPh sb="2" eb="4">
      <t>オンド</t>
    </rPh>
    <phoneticPr fontId="3"/>
  </si>
  <si>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3"/>
  </si>
  <si>
    <t>水冷式は、凝縮温度－8℃＝冷却水温度とする</t>
    <rPh sb="0" eb="2">
      <t>スイレイ</t>
    </rPh>
    <rPh sb="2" eb="3">
      <t>シキ</t>
    </rPh>
    <rPh sb="5" eb="7">
      <t>ギョウシュク</t>
    </rPh>
    <rPh sb="7" eb="9">
      <t>オンド</t>
    </rPh>
    <rPh sb="13" eb="16">
      <t>レイキャクスイ</t>
    </rPh>
    <rPh sb="16" eb="18">
      <t>オンド</t>
    </rPh>
    <phoneticPr fontId="3"/>
  </si>
  <si>
    <t>冷却水温度＝湿球温度とする。</t>
    <rPh sb="0" eb="3">
      <t>レイキャクスイ</t>
    </rPh>
    <rPh sb="3" eb="5">
      <t>オンド</t>
    </rPh>
    <rPh sb="6" eb="8">
      <t>シッキュウ</t>
    </rPh>
    <rPh sb="8" eb="10">
      <t>オンド</t>
    </rPh>
    <phoneticPr fontId="3"/>
  </si>
  <si>
    <t>【冷凍冷蔵倉庫・食品製造工場】</t>
    <phoneticPr fontId="3"/>
  </si>
  <si>
    <t>系統ごとの集計表として利用可能です。系統No.(1)-集計表のように記入して下さい。
系統内に自然冷媒機器が1台のみ、あるいは複数台であっても同一型式の機器しかない場合は、本シートは省略し、様式2（2/3）(全系統の集計表)及び、様式2（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3"/>
  </si>
  <si>
    <t>冷蔵冷凍倉庫</t>
  </si>
  <si>
    <t>：様式２（別添2）より転記すること</t>
    <rPh sb="1" eb="3">
      <t>ヨウシキ</t>
    </rPh>
    <rPh sb="11" eb="13">
      <t>テンキ</t>
    </rPh>
    <phoneticPr fontId="3"/>
  </si>
  <si>
    <t>：下表の黄色の部分を記入すること</t>
    <rPh sb="1" eb="3">
      <t>カヒョウ</t>
    </rPh>
    <rPh sb="4" eb="6">
      <t>キイロ</t>
    </rPh>
    <rPh sb="7" eb="9">
      <t>ブブン</t>
    </rPh>
    <rPh sb="10" eb="12">
      <t>キニュウ</t>
    </rPh>
    <phoneticPr fontId="3"/>
  </si>
  <si>
    <r>
      <t>　　　　　</t>
    </r>
    <r>
      <rPr>
        <u/>
        <sz val="14"/>
        <rFont val="ＭＳ Ｐゴシック"/>
        <family val="3"/>
        <charset val="128"/>
      </rPr>
      <t>※　記入方法</t>
    </r>
    <rPh sb="7" eb="9">
      <t>キニュウ</t>
    </rPh>
    <rPh sb="9" eb="11">
      <t>ホウホウ</t>
    </rPh>
    <phoneticPr fontId="3"/>
  </si>
  <si>
    <t>※　記入方法：</t>
    <phoneticPr fontId="3"/>
  </si>
  <si>
    <t>冷却方式：</t>
    <rPh sb="0" eb="2">
      <t>レイキャク</t>
    </rPh>
    <rPh sb="2" eb="4">
      <t>ホウシキ</t>
    </rPh>
    <phoneticPr fontId="3"/>
  </si>
  <si>
    <t>凝縮温度又は外気温度：</t>
    <rPh sb="0" eb="2">
      <t>ギョウシュク</t>
    </rPh>
    <rPh sb="2" eb="4">
      <t>オンド</t>
    </rPh>
    <rPh sb="4" eb="5">
      <t>マタ</t>
    </rPh>
    <rPh sb="6" eb="8">
      <t>ガイキ</t>
    </rPh>
    <rPh sb="8" eb="10">
      <t>オンド</t>
    </rPh>
    <phoneticPr fontId="22"/>
  </si>
  <si>
    <t>蒸発温度：</t>
    <rPh sb="0" eb="4">
      <t>ジョウハツオンド</t>
    </rPh>
    <phoneticPr fontId="22"/>
  </si>
  <si>
    <t>冷凍能力（1台あたりの値）：</t>
    <rPh sb="0" eb="2">
      <t>レイトウ</t>
    </rPh>
    <rPh sb="2" eb="4">
      <t>ノウリョク</t>
    </rPh>
    <rPh sb="6" eb="7">
      <t>ダイ</t>
    </rPh>
    <rPh sb="11" eb="12">
      <t>アタイ</t>
    </rPh>
    <phoneticPr fontId="3"/>
  </si>
  <si>
    <t>消費電力（1台あたりの値）：</t>
    <rPh sb="0" eb="2">
      <t>ショウヒ</t>
    </rPh>
    <rPh sb="2" eb="4">
      <t>デンリョク</t>
    </rPh>
    <rPh sb="6" eb="7">
      <t>ダイ</t>
    </rPh>
    <rPh sb="11" eb="12">
      <t>アタイ</t>
    </rPh>
    <phoneticPr fontId="3"/>
  </si>
  <si>
    <t>脱炭素型自然冷媒機器</t>
  </si>
  <si>
    <t>に必要事項を入力してください。</t>
    <rPh sb="1" eb="3">
      <t>ヒツヨウ</t>
    </rPh>
    <rPh sb="3" eb="5">
      <t>ジコウ</t>
    </rPh>
    <rPh sb="6" eb="8">
      <t>ニュウリョク</t>
    </rPh>
    <phoneticPr fontId="3"/>
  </si>
  <si>
    <t>黄色の部分</t>
    <phoneticPr fontId="3"/>
  </si>
  <si>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3"/>
  </si>
  <si>
    <t>①×②×③の合計値が自動計算されます。
内蔵型ショーケースの場合は、JISの試験方法等に基づくカタログ値（根拠書として添付）を入力してください。</t>
    <phoneticPr fontId="3"/>
  </si>
  <si>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3"/>
  </si>
  <si>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・冷凍冷蔵倉庫・食品製造工場：原則として、様式2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18" eb="120">
      <t>ヨウシキ</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3"/>
  </si>
  <si>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3"/>
  </si>
  <si>
    <t>系統No.（　　）　－　型式No.（　　）</t>
    <rPh sb="0" eb="2">
      <t>ケイトウ</t>
    </rPh>
    <rPh sb="12" eb="14">
      <t>カタシキ</t>
    </rPh>
    <phoneticPr fontId="3"/>
  </si>
  <si>
    <t>台数（同系統内、同じ型式のものに限る）</t>
    <rPh sb="0" eb="2">
      <t>ダイスウ</t>
    </rPh>
    <rPh sb="3" eb="4">
      <t>ドウ</t>
    </rPh>
    <rPh sb="4" eb="6">
      <t>ケイトウ</t>
    </rPh>
    <rPh sb="6" eb="7">
      <t>ナイ</t>
    </rPh>
    <rPh sb="8" eb="9">
      <t>オナ</t>
    </rPh>
    <rPh sb="10" eb="12">
      <t>カタシキ</t>
    </rPh>
    <rPh sb="16" eb="17">
      <t>カギ</t>
    </rPh>
    <phoneticPr fontId="3"/>
  </si>
  <si>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3"/>
  </si>
  <si>
    <t>④冷凍機年間消費電力
（１台あたりの値）</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</si>
  <si>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</si>
  <si>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
（１台あたりの値）</t>
    <rPh sb="1" eb="3">
      <t>レイバイ</t>
    </rPh>
    <rPh sb="3" eb="5">
      <t>ホユウ</t>
    </rPh>
    <rPh sb="5" eb="6">
      <t>リョウ</t>
    </rPh>
    <phoneticPr fontId="3"/>
  </si>
  <si>
    <t>④冷凍機年間消費電力（１台あたりの値）
　(①×②×③)</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</si>
  <si>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</si>
  <si>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⑨冷媒保有量（１台あたりの値）</t>
    <rPh sb="1" eb="3">
      <t>レイバイ</t>
    </rPh>
    <rPh sb="3" eb="5">
      <t>ホユウ</t>
    </rPh>
    <rPh sb="5" eb="6">
      <t>リョウ</t>
    </rPh>
    <phoneticPr fontId="3"/>
  </si>
  <si>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3"/>
  </si>
  <si>
    <t>別紙１</t>
    <rPh sb="0" eb="2">
      <t>ベッシ</t>
    </rPh>
    <phoneticPr fontId="3"/>
  </si>
  <si>
    <t>別紙１</t>
    <rPh sb="0" eb="2">
      <t>ベッシ</t>
    </rPh>
    <phoneticPr fontId="3"/>
  </si>
  <si>
    <t>コールドチェーンを支える冷凍冷蔵機器の脱フロン・脱炭素化推進事業　実施計画書兼報告書（２／３）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7">
      <t>ケイカク</t>
    </rPh>
    <rPh sb="37" eb="38">
      <t>ショ</t>
    </rPh>
    <rPh sb="38" eb="39">
      <t>ケン</t>
    </rPh>
    <phoneticPr fontId="3"/>
  </si>
  <si>
    <t>別紙1 実施計画書兼報告書（2/3）の（別添1）</t>
    <phoneticPr fontId="3"/>
  </si>
  <si>
    <t>別紙1 実施計画書兼報告書（2/3）の（別添2）</t>
    <rPh sb="0" eb="2">
      <t>ベッシ</t>
    </rPh>
    <rPh sb="4" eb="6">
      <t>ジッシ</t>
    </rPh>
    <rPh sb="6" eb="9">
      <t>ケイカクショ</t>
    </rPh>
    <rPh sb="9" eb="10">
      <t>ケン</t>
    </rPh>
    <rPh sb="10" eb="1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</si>
</sst>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7" formatCode="0.0_ "/>
    <numFmt numFmtId="178" formatCode="0.0;_쐀"/>
    <numFmt numFmtId="179" formatCode="0.0%"/>
    <numFmt numFmtId="182" formatCode="0.000000"/>
    <numFmt numFmtId="183" formatCode="0.000_ "/>
    <numFmt numFmtId="184" formatCode="0.0"/>
    <numFmt numFmtId="185" formatCode="#,##0.0_ "/>
    <numFmt numFmtId="186" formatCode="#,###"/>
    <numFmt numFmtId="187" formatCode="0;\-0;;@"/>
    <numFmt numFmtId="188" formatCode="0.0;\-0.0;;@"/>
    <numFmt numFmtId="189" formatCode="#,##0;\-0;;@"/>
    <numFmt numFmtId="190" formatCode="#,##0.0;\-0.0;;@"/>
  </numFmts>
  <fonts count="2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color indexed="8"/>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11"/>
      <color indexed="10"/>
      <name val="ＭＳ ゴシック"/>
      <family val="3"/>
      <charset val="128"/>
    </font>
    <font>
      <b/>
      <sz val="11"/>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0"/>
      <color indexed="81"/>
      <name val="MS P ゴシック"/>
      <family val="3"/>
      <charset val="128"/>
    </font>
    <font>
      <b/>
      <sz val="11"/>
      <color rgb="FFFF0000"/>
      <name val="ＭＳ Ｐゴシック"/>
      <family val="3"/>
      <charset val="128"/>
    </font>
    <font>
      <b/>
      <sz val="12"/>
      <name val="ＭＳ Ｐゴシック"/>
      <family val="3"/>
      <charset val="128"/>
    </font>
    <font>
      <b/>
      <sz val="9"/>
      <color indexed="81"/>
      <name val="MS P ゴシック"/>
      <family val="3"/>
      <charset val="128"/>
    </font>
    <font>
      <b/>
      <sz val="14"/>
      <name val="ＭＳ Ｐゴシック"/>
      <family val="3"/>
      <charset val="128"/>
    </font>
    <font>
      <sz val="6"/>
      <name val="ＭＳ Ｐゴシック"/>
      <family val="2"/>
      <charset val="128"/>
      <scheme val="minor"/>
    </font>
    <font>
      <sz val="9"/>
      <color indexed="81"/>
      <name val="MS P ゴシック"/>
      <family val="3"/>
      <charset val="128"/>
    </font>
    <font>
      <u/>
      <sz val="14"/>
      <name val="ＭＳ Ｐゴシック"/>
      <family val="3"/>
      <charset val="128"/>
    </font>
    <font>
      <sz val="11"/>
      <color theme="1"/>
      <name val="ＭＳ Ｐゴシック"/>
      <family val="2"/>
      <charset val="128"/>
    </font>
    <font>
      <sz val="16"/>
      <color rgb="FFFF0000"/>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14">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auto="1"/>
      </left>
      <right style="hair">
        <color auto="1"/>
      </right>
      <top style="thin">
        <color auto="1"/>
      </top>
      <bottom style="hair">
        <color auto="1"/>
      </bottom>
      <diagonal/>
    </border>
    <border>
      <left style="medium">
        <color indexed="64"/>
      </left>
      <right style="hair">
        <color indexed="64"/>
      </right>
      <top/>
      <bottom style="hair">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hair">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5" fillId="0" borderId="0">
      <alignment vertical="center"/>
    </xf>
  </cellStyleXfs>
  <cellXfs count="509">
    <xf numFmtId="0" fontId="0" fillId="0" borderId="0" xfId="0">
      <alignment vertical="center"/>
    </xf>
    <xf numFmtId="0" fontId="4"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8" fillId="0" borderId="10" xfId="0" applyFont="1" applyBorder="1" applyAlignment="1">
      <alignment horizontal="left" vertical="center"/>
    </xf>
    <xf numFmtId="0" fontId="0" fillId="0" borderId="10" xfId="0" applyBorder="1" applyAlignment="1">
      <alignment horizontal="center" vertical="center"/>
    </xf>
    <xf numFmtId="0" fontId="8" fillId="0" borderId="10" xfId="0" applyFont="1" applyBorder="1">
      <alignment vertical="center"/>
    </xf>
    <xf numFmtId="0" fontId="5" fillId="0" borderId="0" xfId="0" applyFont="1">
      <alignment vertical="center"/>
    </xf>
    <xf numFmtId="0" fontId="12" fillId="0" borderId="0" xfId="0" applyFont="1" applyAlignment="1">
      <alignment vertical="center" wrapText="1"/>
    </xf>
    <xf numFmtId="0" fontId="12" fillId="0" borderId="0" xfId="0" applyFont="1" applyAlignment="1">
      <alignment horizontal="right" vertical="center" wrapText="1"/>
    </xf>
    <xf numFmtId="182" fontId="12" fillId="0" borderId="0" xfId="0" applyNumberFormat="1" applyFont="1" applyAlignment="1">
      <alignment horizontal="right" vertical="center" wrapText="1"/>
    </xf>
    <xf numFmtId="0" fontId="12" fillId="0" borderId="0" xfId="0" applyFont="1">
      <alignment vertical="center"/>
    </xf>
    <xf numFmtId="182" fontId="5" fillId="0" borderId="0" xfId="0" applyNumberFormat="1" applyFont="1" applyAlignment="1">
      <alignment vertical="center" wrapText="1"/>
    </xf>
    <xf numFmtId="0" fontId="0" fillId="2" borderId="9" xfId="0" applyFill="1" applyBorder="1" applyAlignment="1">
      <alignment horizontal="center" vertical="center"/>
    </xf>
    <xf numFmtId="178" fontId="0" fillId="2" borderId="5" xfId="0" applyNumberFormat="1" applyFill="1" applyBorder="1" applyAlignment="1">
      <alignment horizontal="center" vertical="center"/>
    </xf>
    <xf numFmtId="0" fontId="7" fillId="0" borderId="0" xfId="0" applyFont="1" applyAlignment="1">
      <alignment vertical="center" wrapText="1"/>
    </xf>
    <xf numFmtId="178" fontId="0" fillId="0" borderId="0" xfId="0" applyNumberFormat="1" applyAlignment="1">
      <alignment horizontal="center" vertical="center"/>
    </xf>
    <xf numFmtId="0" fontId="0" fillId="2" borderId="8" xfId="0" applyFill="1" applyBorder="1" applyAlignment="1">
      <alignment horizontal="left" vertical="center" wrapText="1"/>
    </xf>
    <xf numFmtId="178" fontId="0" fillId="2" borderId="32" xfId="0" applyNumberFormat="1" applyFill="1" applyBorder="1" applyAlignment="1">
      <alignment horizontal="center" vertical="center"/>
    </xf>
    <xf numFmtId="0" fontId="0" fillId="2" borderId="33" xfId="0"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177" fontId="8" fillId="2" borderId="48" xfId="0" applyNumberFormat="1" applyFont="1" applyFill="1" applyBorder="1" applyAlignment="1">
      <alignment horizontal="center" vertical="center"/>
    </xf>
    <xf numFmtId="177" fontId="8" fillId="2" borderId="40" xfId="0" applyNumberFormat="1" applyFont="1" applyFill="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9" xfId="0" applyFont="1" applyBorder="1" applyAlignment="1">
      <alignment horizontal="center" vertical="center" wrapText="1"/>
    </xf>
    <xf numFmtId="177" fontId="8" fillId="2" borderId="51" xfId="0" applyNumberFormat="1" applyFont="1" applyFill="1" applyBorder="1" applyAlignment="1">
      <alignment horizontal="center" vertical="center"/>
    </xf>
    <xf numFmtId="177" fontId="8" fillId="2" borderId="52" xfId="0" applyNumberFormat="1" applyFont="1" applyFill="1" applyBorder="1" applyAlignment="1">
      <alignment horizontal="center" vertical="center"/>
    </xf>
    <xf numFmtId="177" fontId="8" fillId="2" borderId="53"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9" fillId="0" borderId="0" xfId="0" applyFont="1" applyAlignment="1">
      <alignment horizontal="left" vertical="top" wrapText="1"/>
    </xf>
    <xf numFmtId="0" fontId="14"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right" vertical="center"/>
    </xf>
    <xf numFmtId="0" fontId="0" fillId="0" borderId="5"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15" fillId="0" borderId="0" xfId="0" applyFont="1">
      <alignment vertical="center"/>
    </xf>
    <xf numFmtId="177" fontId="10" fillId="0" borderId="30" xfId="0" applyNumberFormat="1" applyFont="1" applyBorder="1" applyAlignment="1">
      <alignment horizontal="left" vertical="top" wrapText="1"/>
    </xf>
    <xf numFmtId="177" fontId="10" fillId="0" borderId="31"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184" fontId="0" fillId="2" borderId="5" xfId="0" applyNumberFormat="1" applyFill="1" applyBorder="1" applyAlignment="1">
      <alignment horizontal="center" vertical="center"/>
    </xf>
    <xf numFmtId="184" fontId="0" fillId="2" borderId="13" xfId="0" applyNumberFormat="1" applyFill="1" applyBorder="1" applyAlignment="1">
      <alignment horizontal="center"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0" fontId="4"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lignment vertical="center"/>
    </xf>
    <xf numFmtId="0" fontId="0" fillId="0" borderId="0" xfId="0" quotePrefix="1">
      <alignment vertical="center"/>
    </xf>
    <xf numFmtId="0" fontId="0" fillId="0" borderId="0" xfId="0" applyAlignment="1">
      <alignment horizontal="left" vertical="center"/>
    </xf>
    <xf numFmtId="0" fontId="0" fillId="0" borderId="0" xfId="0" quotePrefix="1" applyAlignment="1">
      <alignment horizontal="left" vertical="center"/>
    </xf>
    <xf numFmtId="0" fontId="0" fillId="2" borderId="8" xfId="0" applyFill="1" applyBorder="1" applyAlignment="1">
      <alignment horizontal="left" vertical="center"/>
    </xf>
    <xf numFmtId="0" fontId="0" fillId="2" borderId="5" xfId="0" quotePrefix="1" applyFill="1" applyBorder="1" applyAlignment="1">
      <alignment horizontal="center"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indent="1"/>
    </xf>
    <xf numFmtId="177" fontId="8" fillId="2" borderId="47" xfId="0" applyNumberFormat="1" applyFont="1" applyFill="1" applyBorder="1" applyAlignment="1">
      <alignment horizontal="center" vertical="center"/>
    </xf>
    <xf numFmtId="184" fontId="0" fillId="7" borderId="35" xfId="0" applyNumberFormat="1" applyFill="1" applyBorder="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5"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0" fillId="0" borderId="0" xfId="0" applyAlignment="1" applyProtection="1">
      <alignment horizontal="left" vertical="center" inden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0" borderId="0" xfId="0" quotePrefix="1" applyFont="1" applyAlignment="1" applyProtection="1">
      <alignment horizontal="left" vertical="center"/>
      <protection locked="0"/>
    </xf>
    <xf numFmtId="0" fontId="0" fillId="0" borderId="5" xfId="0"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13" fillId="0" borderId="35"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0" fillId="0" borderId="5" xfId="0" applyBorder="1" applyAlignment="1" applyProtection="1">
      <alignment vertical="center" wrapText="1"/>
      <protection locked="0"/>
    </xf>
    <xf numFmtId="0" fontId="8" fillId="0" borderId="61" xfId="0" applyFont="1" applyBorder="1" applyProtection="1">
      <alignment vertical="center"/>
      <protection locked="0"/>
    </xf>
    <xf numFmtId="0" fontId="8" fillId="0" borderId="64" xfId="0" applyFont="1" applyBorder="1" applyProtection="1">
      <alignment vertical="center"/>
      <protection locked="0"/>
    </xf>
    <xf numFmtId="0" fontId="8" fillId="7" borderId="83" xfId="0" applyFont="1" applyFill="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1" xfId="0" applyFont="1" applyBorder="1" applyProtection="1">
      <alignment vertical="center"/>
      <protection locked="0"/>
    </xf>
    <xf numFmtId="0" fontId="8" fillId="7" borderId="13" xfId="0" applyFont="1" applyFill="1" applyBorder="1" applyAlignment="1" applyProtection="1">
      <alignment horizontal="center" vertical="center" wrapText="1"/>
      <protection locked="0"/>
    </xf>
    <xf numFmtId="186" fontId="8" fillId="0" borderId="13"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protection locked="0"/>
    </xf>
    <xf numFmtId="184" fontId="8" fillId="7" borderId="5" xfId="0" applyNumberFormat="1" applyFont="1" applyFill="1" applyBorder="1" applyAlignment="1" applyProtection="1">
      <alignment horizontal="center" vertical="center"/>
      <protection locked="0"/>
    </xf>
    <xf numFmtId="188" fontId="8" fillId="0" borderId="13" xfId="0" applyNumberFormat="1"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1" fontId="8" fillId="7" borderId="5" xfId="0" quotePrefix="1" applyNumberFormat="1" applyFont="1" applyFill="1" applyBorder="1" applyAlignment="1" applyProtection="1">
      <alignment horizontal="center" vertical="center"/>
      <protection locked="0"/>
    </xf>
    <xf numFmtId="187" fontId="8" fillId="0" borderId="13"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8" fillId="7" borderId="5"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1" fontId="8" fillId="7" borderId="5" xfId="0" applyNumberFormat="1" applyFont="1" applyFill="1" applyBorder="1" applyAlignment="1" applyProtection="1">
      <alignment horizontal="center" vertical="center"/>
      <protection locked="0"/>
    </xf>
    <xf numFmtId="184" fontId="8" fillId="0" borderId="32" xfId="0" applyNumberFormat="1" applyFont="1" applyBorder="1" applyAlignment="1" applyProtection="1">
      <alignment horizontal="center" vertical="center"/>
      <protection locked="0"/>
    </xf>
    <xf numFmtId="38" fontId="8" fillId="7" borderId="5" xfId="1" applyFont="1" applyFill="1" applyBorder="1" applyAlignment="1" applyProtection="1">
      <alignment horizontal="center" vertical="center"/>
      <protection locked="0"/>
    </xf>
    <xf numFmtId="189" fontId="8" fillId="0" borderId="13" xfId="1" applyNumberFormat="1" applyFont="1" applyBorder="1" applyAlignment="1" applyProtection="1">
      <alignment horizontal="center" vertical="center"/>
      <protection locked="0"/>
    </xf>
    <xf numFmtId="38" fontId="8" fillId="0" borderId="32"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9" fontId="8" fillId="7" borderId="5" xfId="1" applyNumberFormat="1" applyFont="1" applyFill="1" applyBorder="1" applyAlignment="1" applyProtection="1">
      <alignment horizontal="center" vertical="center"/>
      <protection locked="0"/>
    </xf>
    <xf numFmtId="9" fontId="8" fillId="7" borderId="13" xfId="2" applyFont="1" applyFill="1" applyBorder="1" applyAlignment="1" applyProtection="1">
      <alignment horizontal="center" vertical="center"/>
      <protection locked="0"/>
    </xf>
    <xf numFmtId="9" fontId="8" fillId="0" borderId="32" xfId="1"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shrinkToFit="1"/>
      <protection locked="0"/>
    </xf>
    <xf numFmtId="189" fontId="8" fillId="8" borderId="5" xfId="1" applyNumberFormat="1" applyFont="1" applyFill="1" applyBorder="1" applyAlignment="1" applyProtection="1">
      <alignment horizontal="center" vertical="center"/>
      <protection locked="0"/>
    </xf>
    <xf numFmtId="38" fontId="8" fillId="8" borderId="13" xfId="0" applyNumberFormat="1" applyFont="1" applyFill="1" applyBorder="1" applyAlignment="1" applyProtection="1">
      <alignment horizontal="center" vertical="center"/>
      <protection locked="0"/>
    </xf>
    <xf numFmtId="189" fontId="8" fillId="0" borderId="32" xfId="1" applyNumberFormat="1" applyFont="1" applyFill="1" applyBorder="1" applyAlignment="1" applyProtection="1">
      <alignment horizontal="center" vertical="center"/>
      <protection locked="0"/>
    </xf>
    <xf numFmtId="9" fontId="0" fillId="0" borderId="0" xfId="1" applyNumberFormat="1" applyFont="1" applyBorder="1" applyAlignment="1" applyProtection="1">
      <alignment horizontal="center" vertical="center"/>
      <protection locked="0"/>
    </xf>
    <xf numFmtId="185" fontId="8" fillId="7" borderId="5" xfId="1" applyNumberFormat="1" applyFont="1" applyFill="1" applyBorder="1" applyAlignment="1" applyProtection="1">
      <alignment horizontal="center" vertical="center"/>
      <protection locked="0"/>
    </xf>
    <xf numFmtId="185" fontId="8" fillId="0" borderId="32" xfId="1" applyNumberFormat="1"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center" vertical="center"/>
      <protection locked="0"/>
    </xf>
    <xf numFmtId="183" fontId="8" fillId="8" borderId="2" xfId="0" applyNumberFormat="1"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183" fontId="8" fillId="0" borderId="39" xfId="0" applyNumberFormat="1" applyFont="1" applyBorder="1" applyAlignment="1" applyProtection="1">
      <alignment horizontal="center" vertical="center"/>
      <protection locked="0"/>
    </xf>
    <xf numFmtId="0" fontId="0" fillId="0" borderId="5" xfId="0" applyBorder="1" applyAlignment="1" applyProtection="1">
      <alignment horizontal="left" vertical="center" shrinkToFit="1"/>
      <protection locked="0"/>
    </xf>
    <xf numFmtId="0" fontId="8" fillId="9" borderId="8" xfId="0" applyFont="1" applyFill="1" applyBorder="1" applyAlignment="1" applyProtection="1">
      <alignment horizontal="left" vertical="center" wrapText="1"/>
      <protection locked="0"/>
    </xf>
    <xf numFmtId="0" fontId="8" fillId="9" borderId="9" xfId="0" applyFont="1" applyFill="1" applyBorder="1" applyAlignment="1" applyProtection="1">
      <alignment horizontal="center" vertical="center"/>
      <protection locked="0"/>
    </xf>
    <xf numFmtId="190" fontId="8" fillId="9" borderId="5" xfId="0" applyNumberFormat="1" applyFont="1" applyFill="1" applyBorder="1" applyAlignment="1" applyProtection="1">
      <alignment horizontal="center" vertical="center"/>
      <protection locked="0"/>
    </xf>
    <xf numFmtId="178" fontId="8" fillId="9" borderId="5" xfId="0" applyNumberFormat="1" applyFont="1" applyFill="1" applyBorder="1" applyAlignment="1" applyProtection="1">
      <alignment horizontal="center" vertical="center"/>
      <protection locked="0"/>
    </xf>
    <xf numFmtId="189" fontId="8" fillId="9" borderId="32" xfId="0" applyNumberFormat="1" applyFont="1" applyFill="1" applyBorder="1" applyAlignment="1" applyProtection="1">
      <alignment horizontal="center" vertical="center"/>
      <protection locked="0"/>
    </xf>
    <xf numFmtId="183" fontId="14" fillId="0" borderId="0" xfId="0" applyNumberFormat="1" applyFont="1" applyAlignment="1" applyProtection="1">
      <alignment horizontal="center" vertical="center"/>
      <protection locked="0"/>
    </xf>
    <xf numFmtId="38" fontId="8" fillId="0" borderId="13" xfId="1" applyFont="1" applyBorder="1" applyAlignment="1" applyProtection="1">
      <alignment horizontal="center" vertical="center"/>
      <protection locked="0"/>
    </xf>
    <xf numFmtId="178" fontId="0" fillId="0" borderId="0" xfId="0" applyNumberFormat="1" applyAlignment="1" applyProtection="1">
      <alignment horizontal="center" vertical="center"/>
      <protection locked="0"/>
    </xf>
    <xf numFmtId="190" fontId="8" fillId="8" borderId="5" xfId="1" applyNumberFormat="1" applyFont="1" applyFill="1" applyBorder="1" applyAlignment="1" applyProtection="1">
      <alignment horizontal="center" vertical="center"/>
      <protection locked="0"/>
    </xf>
    <xf numFmtId="38" fontId="8" fillId="8" borderId="5" xfId="1" applyFont="1" applyFill="1" applyBorder="1" applyAlignment="1" applyProtection="1">
      <alignment horizontal="center" vertical="center"/>
      <protection locked="0"/>
    </xf>
    <xf numFmtId="179" fontId="8" fillId="7" borderId="5" xfId="1" applyNumberFormat="1" applyFont="1" applyFill="1" applyBorder="1" applyAlignment="1" applyProtection="1">
      <alignment horizontal="center" vertical="center"/>
      <protection locked="0"/>
    </xf>
    <xf numFmtId="179" fontId="8" fillId="0" borderId="5" xfId="1" applyNumberFormat="1" applyFont="1" applyFill="1" applyBorder="1" applyAlignment="1" applyProtection="1">
      <alignment horizontal="center" vertical="center"/>
      <protection locked="0"/>
    </xf>
    <xf numFmtId="179" fontId="8" fillId="0" borderId="32" xfId="1" applyNumberFormat="1" applyFont="1" applyFill="1" applyBorder="1" applyAlignment="1" applyProtection="1">
      <alignment horizontal="center" vertical="center"/>
      <protection locked="0"/>
    </xf>
    <xf numFmtId="38" fontId="8" fillId="8" borderId="13" xfId="1" applyFont="1" applyFill="1" applyBorder="1" applyAlignment="1" applyProtection="1">
      <alignment horizontal="center" vertical="center"/>
      <protection locked="0"/>
    </xf>
    <xf numFmtId="38" fontId="8" fillId="0" borderId="32" xfId="1" applyFont="1" applyFill="1" applyBorder="1" applyAlignment="1" applyProtection="1">
      <alignment horizontal="center" vertical="center"/>
      <protection locked="0"/>
    </xf>
    <xf numFmtId="0" fontId="8" fillId="9" borderId="33" xfId="0" applyFont="1" applyFill="1" applyBorder="1" applyAlignment="1" applyProtection="1">
      <alignment horizontal="left" vertical="center" wrapText="1"/>
      <protection locked="0"/>
    </xf>
    <xf numFmtId="0" fontId="8" fillId="9" borderId="34" xfId="0" applyFont="1" applyFill="1" applyBorder="1" applyAlignment="1" applyProtection="1">
      <alignment horizontal="center" vertical="center"/>
      <protection locked="0"/>
    </xf>
    <xf numFmtId="184" fontId="8" fillId="9" borderId="35" xfId="0" applyNumberFormat="1"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190" fontId="8" fillId="9" borderId="36" xfId="0" applyNumberFormat="1" applyFont="1" applyFill="1" applyBorder="1" applyAlignment="1" applyProtection="1">
      <alignment horizontal="center" vertical="center"/>
      <protection locked="0"/>
    </xf>
    <xf numFmtId="179" fontId="0" fillId="0" borderId="0" xfId="1" applyNumberFormat="1"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0" xfId="0" applyFont="1" applyBorder="1" applyAlignment="1" applyProtection="1">
      <alignment horizontal="left" vertical="center"/>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177" fontId="8" fillId="8" borderId="47" xfId="0" applyNumberFormat="1" applyFont="1" applyFill="1" applyBorder="1" applyAlignment="1" applyProtection="1">
      <alignment horizontal="center" vertical="center"/>
      <protection locked="0"/>
    </xf>
    <xf numFmtId="184" fontId="8" fillId="8" borderId="48" xfId="0" applyNumberFormat="1" applyFont="1" applyFill="1" applyBorder="1" applyAlignment="1" applyProtection="1">
      <alignment horizontal="center" vertical="center"/>
      <protection locked="0"/>
    </xf>
    <xf numFmtId="177" fontId="8" fillId="8" borderId="40" xfId="0" applyNumberFormat="1" applyFont="1" applyFill="1" applyBorder="1" applyAlignment="1" applyProtection="1">
      <alignment horizontal="center" vertical="center"/>
      <protection locked="0"/>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177" fontId="8" fillId="8" borderId="51" xfId="0" applyNumberFormat="1" applyFont="1" applyFill="1" applyBorder="1" applyAlignment="1" applyProtection="1">
      <alignment horizontal="center" vertical="center"/>
      <protection locked="0"/>
    </xf>
    <xf numFmtId="177" fontId="8" fillId="8" borderId="52" xfId="0" applyNumberFormat="1" applyFont="1" applyFill="1" applyBorder="1" applyAlignment="1" applyProtection="1">
      <alignment horizontal="center" vertical="center"/>
      <protection locked="0"/>
    </xf>
    <xf numFmtId="177" fontId="8" fillId="8" borderId="53" xfId="0" applyNumberFormat="1" applyFont="1" applyFill="1" applyBorder="1" applyAlignment="1" applyProtection="1">
      <alignment horizontal="center" vertical="center"/>
      <protection locked="0"/>
    </xf>
    <xf numFmtId="177" fontId="9" fillId="0" borderId="46" xfId="0" applyNumberFormat="1" applyFont="1" applyBorder="1" applyAlignment="1" applyProtection="1">
      <alignment horizontal="center" vertical="center"/>
      <protection locked="0"/>
    </xf>
    <xf numFmtId="177" fontId="10" fillId="0" borderId="30" xfId="0" applyNumberFormat="1" applyFont="1" applyBorder="1" applyAlignment="1" applyProtection="1">
      <alignment horizontal="left" vertical="top" wrapText="1"/>
      <protection locked="0"/>
    </xf>
    <xf numFmtId="177" fontId="10" fillId="0" borderId="31" xfId="0" applyNumberFormat="1" applyFont="1" applyBorder="1" applyAlignment="1" applyProtection="1">
      <alignment horizontal="left" vertical="top" wrapText="1"/>
      <protection locked="0"/>
    </xf>
    <xf numFmtId="0" fontId="8" fillId="0" borderId="0" xfId="0" applyFont="1" applyAlignment="1" applyProtection="1">
      <alignment horizontal="left" vertical="center" indent="1"/>
      <protection locked="0"/>
    </xf>
    <xf numFmtId="0" fontId="9" fillId="0" borderId="0" xfId="0" applyFont="1" applyAlignment="1" applyProtection="1">
      <alignment horizontal="left" vertical="top" wrapText="1"/>
      <protection locked="0"/>
    </xf>
    <xf numFmtId="0" fontId="4" fillId="0" borderId="0" xfId="0" applyFont="1" applyAlignment="1" applyProtection="1">
      <alignment horizontal="left" vertical="center" indent="1"/>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Protection="1">
      <alignment vertical="center"/>
      <protection locked="0"/>
    </xf>
    <xf numFmtId="0" fontId="1" fillId="0" borderId="19" xfId="0" applyFont="1" applyBorder="1" applyProtection="1">
      <alignment vertical="center"/>
      <protection locked="0"/>
    </xf>
    <xf numFmtId="0" fontId="1" fillId="0" borderId="19" xfId="0"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8" fillId="0" borderId="54" xfId="0" quotePrefix="1" applyFont="1" applyBorder="1" applyAlignment="1" applyProtection="1">
      <alignment vertical="center" shrinkToFit="1"/>
      <protection locked="0"/>
    </xf>
    <xf numFmtId="0" fontId="18" fillId="0" borderId="55" xfId="0" applyFont="1" applyBorder="1" applyAlignment="1" applyProtection="1">
      <alignment horizontal="left" vertical="center"/>
      <protection locked="0"/>
    </xf>
    <xf numFmtId="0" fontId="1" fillId="0" borderId="20" xfId="0" quotePrefix="1" applyFont="1" applyBorder="1" applyProtection="1">
      <alignment vertical="center"/>
      <protection locked="0"/>
    </xf>
    <xf numFmtId="0" fontId="1" fillId="0" borderId="22" xfId="0" applyFont="1" applyBorder="1" applyAlignment="1" applyProtection="1">
      <alignment horizontal="left" vertical="center"/>
      <protection locked="0"/>
    </xf>
    <xf numFmtId="0" fontId="18" fillId="0" borderId="54" xfId="0" quotePrefix="1" applyFont="1" applyBorder="1" applyProtection="1">
      <alignment vertical="center"/>
      <protection locked="0"/>
    </xf>
    <xf numFmtId="0" fontId="18" fillId="0" borderId="20" xfId="0" quotePrefix="1" applyFont="1" applyBorder="1" applyAlignment="1" applyProtection="1">
      <alignment horizontal="left" vertical="center"/>
      <protection locked="0"/>
    </xf>
    <xf numFmtId="0" fontId="12" fillId="0" borderId="0" xfId="0" applyFont="1" applyAlignment="1" applyProtection="1">
      <alignment vertical="center" wrapText="1"/>
      <protection locked="0"/>
    </xf>
    <xf numFmtId="182" fontId="12" fillId="0" borderId="0" xfId="0" applyNumberFormat="1" applyFont="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18" fillId="0" borderId="20" xfId="0" quotePrefix="1" applyFont="1" applyBorder="1" applyProtection="1">
      <alignment vertical="center"/>
      <protection locked="0"/>
    </xf>
    <xf numFmtId="0" fontId="18" fillId="0" borderId="22" xfId="0" applyFont="1" applyBorder="1" applyAlignment="1" applyProtection="1">
      <alignment horizontal="left" vertical="center"/>
      <protection locked="0"/>
    </xf>
    <xf numFmtId="0" fontId="12" fillId="0" borderId="0" xfId="0" applyFont="1" applyAlignment="1" applyProtection="1">
      <alignment horizontal="right" vertical="center" wrapText="1"/>
      <protection locked="0"/>
    </xf>
    <xf numFmtId="0" fontId="0" fillId="0" borderId="20" xfId="0" quotePrefix="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quotePrefix="1" applyBorder="1" applyProtection="1">
      <alignment vertical="center"/>
      <protection locked="0"/>
    </xf>
    <xf numFmtId="0" fontId="0" fillId="0" borderId="54" xfId="0" quotePrefix="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 fillId="0" borderId="23" xfId="0" quotePrefix="1" applyFont="1" applyBorder="1" applyAlignment="1" applyProtection="1">
      <alignment horizontal="left" vertical="center"/>
      <protection locked="0"/>
    </xf>
    <xf numFmtId="0" fontId="1" fillId="0" borderId="24" xfId="0"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 fillId="0" borderId="23" xfId="0" quotePrefix="1" applyFont="1" applyBorder="1" applyProtection="1">
      <alignment vertical="center"/>
      <protection locked="0"/>
    </xf>
    <xf numFmtId="0" fontId="1" fillId="0" borderId="25" xfId="0" applyFont="1" applyBorder="1" applyProtection="1">
      <alignment vertical="center"/>
      <protection locked="0"/>
    </xf>
    <xf numFmtId="0" fontId="1" fillId="0" borderId="0" xfId="0" applyFont="1" applyAlignment="1" applyProtection="1">
      <alignment horizontal="left" vertical="center"/>
      <protection locked="0"/>
    </xf>
    <xf numFmtId="0" fontId="14" fillId="0" borderId="0" xfId="0" applyFont="1" applyAlignment="1" applyProtection="1">
      <alignment horizontal="center" vertical="center" shrinkToFit="1"/>
      <protection locked="0"/>
    </xf>
    <xf numFmtId="0" fontId="14" fillId="0" borderId="2" xfId="0" applyFont="1" applyBorder="1" applyProtection="1">
      <alignment vertical="center"/>
      <protection locked="0"/>
    </xf>
    <xf numFmtId="0" fontId="14" fillId="0" borderId="2" xfId="0" applyFont="1" applyBorder="1" applyAlignment="1" applyProtection="1">
      <alignment vertical="center" shrinkToFit="1"/>
      <protection locked="0"/>
    </xf>
    <xf numFmtId="0" fontId="14" fillId="0" borderId="3" xfId="0" applyFont="1" applyBorder="1" applyProtection="1">
      <alignment vertical="center"/>
      <protection locked="0"/>
    </xf>
    <xf numFmtId="0" fontId="14" fillId="0" borderId="4" xfId="0" applyFont="1" applyBorder="1" applyAlignment="1" applyProtection="1">
      <alignment horizontal="left" vertical="center" indent="1"/>
      <protection locked="0"/>
    </xf>
    <xf numFmtId="0" fontId="14" fillId="0" borderId="4" xfId="0" applyFont="1" applyBorder="1" applyProtection="1">
      <alignment vertical="center"/>
      <protection locked="0"/>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77" xfId="0" applyBorder="1" applyAlignment="1" applyProtection="1">
      <alignment horizontal="center" vertical="center"/>
      <protection hidden="1"/>
    </xf>
    <xf numFmtId="0" fontId="0" fillId="0" borderId="83" xfId="0" applyBorder="1" applyAlignment="1" applyProtection="1">
      <alignment horizontal="center" vertical="center" shrinkToFit="1"/>
      <protection hidden="1"/>
    </xf>
    <xf numFmtId="0" fontId="0" fillId="0" borderId="8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77" xfId="0" applyBorder="1" applyAlignment="1" applyProtection="1">
      <alignment horizontal="center" vertical="center" shrinkToFit="1"/>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184" fontId="0" fillId="0" borderId="36" xfId="0" applyNumberFormat="1" applyBorder="1" applyAlignment="1" applyProtection="1">
      <alignment horizontal="center" vertical="center"/>
      <protection hidden="1"/>
    </xf>
    <xf numFmtId="184" fontId="0" fillId="0" borderId="9" xfId="0" applyNumberFormat="1"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6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3" xfId="0" applyBorder="1" applyProtection="1">
      <alignment vertical="center"/>
      <protection hidden="1"/>
    </xf>
    <xf numFmtId="0" fontId="0" fillId="0" borderId="34" xfId="0" applyBorder="1" applyAlignment="1" applyProtection="1">
      <alignment horizontal="center" vertical="center"/>
      <protection hidden="1"/>
    </xf>
    <xf numFmtId="0" fontId="0" fillId="0" borderId="28" xfId="0" applyBorder="1" applyProtection="1">
      <alignment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184" fontId="0" fillId="0" borderId="5" xfId="0" applyNumberForma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184" fontId="0" fillId="0" borderId="5" xfId="0" applyNumberFormat="1" applyBorder="1" applyAlignment="1" applyProtection="1">
      <alignment horizontal="center" vertical="center" wrapText="1" shrinkToFit="1"/>
      <protection hidden="1"/>
    </xf>
    <xf numFmtId="2" fontId="0" fillId="0" borderId="5" xfId="0" applyNumberFormat="1" applyBorder="1" applyAlignment="1" applyProtection="1">
      <alignment horizontal="center" vertical="center" wrapText="1" shrinkToFit="1"/>
      <protection hidden="1"/>
    </xf>
    <xf numFmtId="0" fontId="0" fillId="0" borderId="0" xfId="0" quotePrefix="1" applyAlignment="1" applyProtection="1">
      <alignment horizontal="center" vertical="center"/>
      <protection hidden="1"/>
    </xf>
    <xf numFmtId="2" fontId="0" fillId="0" borderId="35" xfId="0" applyNumberFormat="1" applyBorder="1" applyAlignment="1" applyProtection="1">
      <alignment horizontal="center" vertical="center"/>
      <protection hidden="1"/>
    </xf>
    <xf numFmtId="184"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6"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9" borderId="0" xfId="0" applyFont="1" applyFill="1" applyAlignment="1">
      <alignment horizontal="center" vertical="center"/>
    </xf>
    <xf numFmtId="0" fontId="21" fillId="9" borderId="0" xfId="0" applyFont="1" applyFill="1">
      <alignment vertical="center"/>
    </xf>
    <xf numFmtId="0" fontId="6" fillId="9"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6" fillId="0" borderId="0" xfId="0" applyFont="1" applyAlignment="1">
      <alignment horizontal="center" vertical="center" wrapText="1"/>
    </xf>
    <xf numFmtId="184" fontId="6" fillId="0" borderId="0" xfId="0" applyNumberFormat="1" applyFont="1" applyAlignment="1">
      <alignment horizontal="center" vertical="center"/>
    </xf>
    <xf numFmtId="38" fontId="6" fillId="0" borderId="0" xfId="1" applyFont="1" applyAlignment="1">
      <alignment horizontal="center" vertical="center"/>
    </xf>
    <xf numFmtId="0" fontId="6" fillId="9" borderId="0" xfId="0" applyFont="1" applyFill="1">
      <alignment vertical="center"/>
    </xf>
    <xf numFmtId="0" fontId="21" fillId="8" borderId="5" xfId="2" applyNumberFormat="1" applyFont="1" applyFill="1" applyBorder="1" applyAlignment="1">
      <alignment horizontal="center" vertical="center"/>
    </xf>
    <xf numFmtId="0" fontId="8" fillId="0" borderId="0" xfId="0" applyFont="1" applyAlignment="1">
      <alignment horizontal="left" vertical="center"/>
    </xf>
    <xf numFmtId="0" fontId="6" fillId="0" borderId="0" xfId="0" applyFont="1" applyAlignment="1">
      <alignment vertical="top"/>
    </xf>
    <xf numFmtId="0" fontId="6" fillId="7" borderId="14" xfId="0" applyFont="1" applyFill="1" applyBorder="1">
      <alignment vertical="center"/>
    </xf>
    <xf numFmtId="0" fontId="6" fillId="10" borderId="14" xfId="0" applyFont="1" applyFill="1" applyBorder="1" applyAlignment="1">
      <alignment horizontal="right" vertical="center"/>
    </xf>
    <xf numFmtId="0" fontId="6" fillId="7"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0" borderId="7" xfId="0" applyFont="1" applyBorder="1" applyAlignment="1">
      <alignment horizontal="center" vertical="center"/>
    </xf>
    <xf numFmtId="0" fontId="6" fillId="10" borderId="5" xfId="2" applyNumberFormat="1" applyFont="1" applyFill="1" applyBorder="1" applyAlignment="1">
      <alignment horizontal="center" vertical="center"/>
    </xf>
    <xf numFmtId="0" fontId="6" fillId="0" borderId="5" xfId="2" applyNumberFormat="1" applyFont="1" applyBorder="1" applyAlignment="1">
      <alignment horizontal="center" vertical="center"/>
    </xf>
    <xf numFmtId="184" fontId="6" fillId="0" borderId="5" xfId="0" applyNumberFormat="1" applyFont="1" applyBorder="1" applyAlignment="1">
      <alignment horizontal="center" vertical="center"/>
    </xf>
    <xf numFmtId="0" fontId="21" fillId="0" borderId="5" xfId="2" applyNumberFormat="1" applyFont="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xf>
    <xf numFmtId="0" fontId="6" fillId="0" borderId="5" xfId="0" applyFont="1" applyBorder="1" applyAlignment="1">
      <alignment horizontal="center" vertical="center"/>
    </xf>
    <xf numFmtId="0" fontId="26" fillId="0" borderId="0" xfId="3" applyFont="1" applyAlignment="1" applyProtection="1">
      <alignment horizontal="left" vertical="center" wrapText="1" readingOrder="1"/>
      <protection hidden="1"/>
    </xf>
    <xf numFmtId="0" fontId="8"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right" vertical="top"/>
      <protection locked="0"/>
    </xf>
    <xf numFmtId="0" fontId="19"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protection locked="0"/>
    </xf>
    <xf numFmtId="184" fontId="8" fillId="7" borderId="2" xfId="0" applyNumberFormat="1" applyFont="1" applyFill="1" applyBorder="1" applyAlignment="1" applyProtection="1">
      <alignment horizontal="center" vertical="center"/>
      <protection locked="0"/>
    </xf>
    <xf numFmtId="1" fontId="8" fillId="0" borderId="50" xfId="2" applyNumberFormat="1"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184" fontId="8" fillId="7" borderId="3" xfId="0" applyNumberFormat="1" applyFont="1" applyFill="1" applyBorder="1" applyAlignment="1" applyProtection="1">
      <alignment horizontal="center" vertical="center"/>
      <protection locked="0"/>
    </xf>
    <xf numFmtId="0" fontId="8" fillId="0" borderId="79" xfId="2" applyNumberFormat="1"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184" fontId="8" fillId="7" borderId="4" xfId="0" applyNumberFormat="1" applyFont="1" applyFill="1" applyBorder="1" applyAlignment="1" applyProtection="1">
      <alignment horizontal="center" vertical="center"/>
      <protection locked="0"/>
    </xf>
    <xf numFmtId="0" fontId="8" fillId="0" borderId="48" xfId="2"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6" xfId="0" applyFont="1" applyBorder="1" applyAlignment="1" applyProtection="1">
      <alignment horizontal="right" vertical="center"/>
      <protection locked="0"/>
    </xf>
    <xf numFmtId="1" fontId="19" fillId="10" borderId="5" xfId="2"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8" fillId="0" borderId="0" xfId="0" applyFont="1" applyProtection="1">
      <alignment vertical="center"/>
      <protection hidden="1"/>
    </xf>
    <xf numFmtId="0" fontId="0" fillId="11" borderId="0" xfId="0" applyFill="1" applyProtection="1">
      <alignment vertical="center"/>
      <protection hidden="1"/>
    </xf>
    <xf numFmtId="0" fontId="0" fillId="0" borderId="0" xfId="0" applyAlignment="1" applyProtection="1">
      <alignment horizontal="left" vertical="center"/>
      <protection hidden="1"/>
    </xf>
    <xf numFmtId="0" fontId="0" fillId="0" borderId="69" xfId="0" applyBorder="1" applyProtection="1">
      <alignment vertical="center"/>
      <protection hidden="1"/>
    </xf>
    <xf numFmtId="0" fontId="0" fillId="0" borderId="80" xfId="0" applyBorder="1" applyAlignment="1" applyProtection="1">
      <alignment horizontal="center" vertical="center" shrinkToFit="1"/>
      <protection hidden="1"/>
    </xf>
    <xf numFmtId="0" fontId="0" fillId="0" borderId="6" xfId="0"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8" fillId="0" borderId="6" xfId="0" applyFont="1" applyBorder="1" applyProtection="1">
      <alignment vertical="center"/>
      <protection hidden="1"/>
    </xf>
    <xf numFmtId="0" fontId="0" fillId="0" borderId="6" xfId="0" applyBorder="1" applyProtection="1">
      <alignment vertical="center"/>
      <protection hidden="1"/>
    </xf>
    <xf numFmtId="0" fontId="0" fillId="4" borderId="6" xfId="0" applyFill="1" applyBorder="1" applyProtection="1">
      <alignment vertical="center"/>
      <protection hidden="1"/>
    </xf>
    <xf numFmtId="0" fontId="0" fillId="4" borderId="0" xfId="0" applyFill="1" applyProtection="1">
      <alignment vertical="center"/>
      <protection hidden="1"/>
    </xf>
    <xf numFmtId="0" fontId="0" fillId="4" borderId="15" xfId="0" applyFill="1" applyBorder="1" applyProtection="1">
      <alignment vertical="center"/>
      <protection hidden="1"/>
    </xf>
    <xf numFmtId="184" fontId="0" fillId="0" borderId="86" xfId="0" applyNumberFormat="1"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81" xfId="0" applyBorder="1" applyProtection="1">
      <alignment vertical="center"/>
      <protection hidden="1"/>
    </xf>
    <xf numFmtId="0" fontId="0" fillId="12" borderId="17" xfId="0" applyFill="1" applyBorder="1" applyAlignment="1" applyProtection="1">
      <alignment horizontal="left" vertical="center"/>
      <protection hidden="1"/>
    </xf>
    <xf numFmtId="0" fontId="0" fillId="12" borderId="87" xfId="0" applyFill="1" applyBorder="1" applyAlignment="1" applyProtection="1">
      <alignment horizontal="left" vertical="center"/>
      <protection hidden="1"/>
    </xf>
    <xf numFmtId="0" fontId="0" fillId="13" borderId="17" xfId="0" applyFill="1" applyBorder="1" applyAlignment="1" applyProtection="1">
      <alignment horizontal="left" vertical="center"/>
      <protection hidden="1"/>
    </xf>
    <xf numFmtId="0" fontId="0" fillId="13" borderId="19" xfId="0" applyFill="1" applyBorder="1" applyProtection="1">
      <alignment vertical="center"/>
      <protection hidden="1"/>
    </xf>
    <xf numFmtId="0" fontId="0" fillId="0" borderId="88" xfId="0" applyBorder="1" applyAlignment="1" applyProtection="1">
      <alignment horizontal="left" vertical="center"/>
      <protection hidden="1"/>
    </xf>
    <xf numFmtId="0" fontId="8" fillId="0" borderId="15" xfId="0" applyFont="1" applyBorder="1" applyProtection="1">
      <alignment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91" xfId="0" applyBorder="1" applyAlignment="1" applyProtection="1">
      <alignment horizontal="center" vertical="center" shrinkToFit="1"/>
      <protection hidden="1"/>
    </xf>
    <xf numFmtId="0" fontId="0" fillId="12" borderId="23" xfId="0" applyFill="1" applyBorder="1" applyAlignment="1" applyProtection="1">
      <alignment horizontal="center" vertical="center" shrinkToFit="1"/>
      <protection hidden="1"/>
    </xf>
    <xf numFmtId="0" fontId="0" fillId="12" borderId="92" xfId="0" applyFill="1" applyBorder="1" applyAlignment="1" applyProtection="1">
      <alignment horizontal="center" vertical="center" shrinkToFit="1"/>
      <protection hidden="1"/>
    </xf>
    <xf numFmtId="0" fontId="0" fillId="13" borderId="23" xfId="0" applyFill="1" applyBorder="1" applyAlignment="1" applyProtection="1">
      <alignment horizontal="center" vertical="center" shrinkToFit="1"/>
      <protection hidden="1"/>
    </xf>
    <xf numFmtId="0" fontId="0" fillId="13" borderId="25" xfId="0" applyFill="1" applyBorder="1" applyAlignment="1" applyProtection="1">
      <alignment horizontal="center" vertical="center" shrinkToFit="1"/>
      <protection hidden="1"/>
    </xf>
    <xf numFmtId="0" fontId="0" fillId="0" borderId="93" xfId="0" applyBorder="1" applyAlignment="1" applyProtection="1">
      <alignment horizontal="center" vertical="center"/>
      <protection hidden="1"/>
    </xf>
    <xf numFmtId="184" fontId="0" fillId="0" borderId="94" xfId="0" applyNumberFormat="1"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1" fontId="13" fillId="0" borderId="86" xfId="0" applyNumberFormat="1" applyFont="1" applyBorder="1" applyAlignment="1" applyProtection="1">
      <alignment horizontal="center" vertical="center"/>
      <protection hidden="1"/>
    </xf>
    <xf numFmtId="0" fontId="0" fillId="12" borderId="96" xfId="0" applyFill="1" applyBorder="1" applyAlignment="1" applyProtection="1">
      <alignment horizontal="center" vertical="center"/>
      <protection hidden="1"/>
    </xf>
    <xf numFmtId="0" fontId="0" fillId="12" borderId="95" xfId="0" applyFill="1" applyBorder="1" applyAlignment="1" applyProtection="1">
      <alignment horizontal="center" vertical="center"/>
      <protection hidden="1"/>
    </xf>
    <xf numFmtId="0" fontId="0" fillId="13" borderId="17" xfId="0" applyFill="1" applyBorder="1" applyAlignment="1" applyProtection="1">
      <alignment horizontal="center" vertical="center"/>
      <protection hidden="1"/>
    </xf>
    <xf numFmtId="0" fontId="0" fillId="13" borderId="19" xfId="0"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1" fontId="13" fillId="0" borderId="94" xfId="0" applyNumberFormat="1" applyFont="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97" xfId="0" applyFill="1" applyBorder="1" applyAlignment="1" applyProtection="1">
      <alignment horizontal="center" vertical="center"/>
      <protection hidden="1"/>
    </xf>
    <xf numFmtId="0" fontId="0" fillId="13" borderId="20"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1" fontId="0" fillId="12" borderId="97" xfId="0" applyNumberFormat="1" applyFill="1" applyBorder="1" applyAlignment="1" applyProtection="1">
      <alignment horizontal="center" vertical="center"/>
      <protection hidden="1"/>
    </xf>
    <xf numFmtId="0" fontId="0" fillId="0" borderId="98" xfId="0" applyBorder="1" applyAlignment="1" applyProtection="1">
      <alignment horizontal="center" vertical="center"/>
      <protection hidden="1"/>
    </xf>
    <xf numFmtId="184" fontId="0" fillId="0" borderId="99" xfId="0" applyNumberFormat="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 fontId="13" fillId="0" borderId="99" xfId="0" applyNumberFormat="1" applyFont="1" applyBorder="1" applyAlignment="1" applyProtection="1">
      <alignment horizontal="center" vertical="center"/>
      <protection hidden="1"/>
    </xf>
    <xf numFmtId="0" fontId="0" fillId="12" borderId="23" xfId="0" applyFill="1" applyBorder="1" applyAlignment="1" applyProtection="1">
      <alignment horizontal="center" vertical="center"/>
      <protection hidden="1"/>
    </xf>
    <xf numFmtId="0" fontId="0" fillId="12" borderId="92" xfId="0" applyFill="1" applyBorder="1" applyAlignment="1" applyProtection="1">
      <alignment horizontal="center" vertical="center"/>
      <protection hidden="1"/>
    </xf>
    <xf numFmtId="0" fontId="0" fillId="13" borderId="23" xfId="0" applyFill="1" applyBorder="1" applyAlignment="1" applyProtection="1">
      <alignment horizontal="center" vertical="center"/>
      <protection hidden="1"/>
    </xf>
    <xf numFmtId="0" fontId="0" fillId="13" borderId="25" xfId="0" applyFill="1" applyBorder="1" applyAlignment="1" applyProtection="1">
      <alignment horizontal="center" vertical="center"/>
      <protection hidden="1"/>
    </xf>
    <xf numFmtId="0" fontId="0" fillId="0" borderId="29" xfId="0" applyBorder="1" applyAlignment="1" applyProtection="1">
      <alignment horizontal="center" vertical="center" shrinkToFit="1"/>
      <protection hidden="1"/>
    </xf>
    <xf numFmtId="1" fontId="13" fillId="0" borderId="59" xfId="2" applyNumberFormat="1" applyFont="1" applyBorder="1" applyAlignment="1" applyProtection="1">
      <alignment horizontal="center" vertical="center"/>
      <protection hidden="1"/>
    </xf>
    <xf numFmtId="1" fontId="13" fillId="0" borderId="0" xfId="2" applyNumberFormat="1"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0" fillId="0" borderId="0" xfId="0" applyAlignment="1" applyProtection="1">
      <alignment vertical="center" wrapText="1"/>
      <protection hidden="1"/>
    </xf>
    <xf numFmtId="0" fontId="0" fillId="12" borderId="101" xfId="0" applyFill="1" applyBorder="1" applyAlignment="1" applyProtection="1">
      <alignment horizontal="left" vertical="center"/>
      <protection hidden="1"/>
    </xf>
    <xf numFmtId="0" fontId="0" fillId="12" borderId="102" xfId="0" applyFill="1" applyBorder="1" applyProtection="1">
      <alignment vertical="center"/>
      <protection hidden="1"/>
    </xf>
    <xf numFmtId="0" fontId="0" fillId="12" borderId="103" xfId="0" applyFill="1" applyBorder="1" applyProtection="1">
      <alignment vertical="center"/>
      <protection hidden="1"/>
    </xf>
    <xf numFmtId="0" fontId="0" fillId="12" borderId="104" xfId="0" applyFill="1" applyBorder="1" applyProtection="1">
      <alignment vertical="center"/>
      <protection hidden="1"/>
    </xf>
    <xf numFmtId="0" fontId="0" fillId="12" borderId="105" xfId="0" applyFill="1" applyBorder="1" applyProtection="1">
      <alignment vertical="center"/>
      <protection hidden="1"/>
    </xf>
    <xf numFmtId="0" fontId="0" fillId="12" borderId="106" xfId="0" applyFill="1" applyBorder="1" applyProtection="1">
      <alignment vertical="center"/>
      <protection hidden="1"/>
    </xf>
    <xf numFmtId="0" fontId="0" fillId="12" borderId="25" xfId="0" applyFill="1" applyBorder="1" applyAlignment="1" applyProtection="1">
      <alignment horizontal="center" vertical="center"/>
      <protection hidden="1"/>
    </xf>
    <xf numFmtId="0" fontId="0" fillId="12" borderId="107" xfId="0" applyFill="1" applyBorder="1" applyAlignment="1" applyProtection="1">
      <alignment horizontal="center" vertical="center"/>
      <protection hidden="1"/>
    </xf>
    <xf numFmtId="0" fontId="0" fillId="12" borderId="108" xfId="0" applyFill="1" applyBorder="1" applyAlignment="1" applyProtection="1">
      <alignment horizontal="center" vertical="center"/>
      <protection hidden="1"/>
    </xf>
    <xf numFmtId="0" fontId="0" fillId="12" borderId="88" xfId="0" applyFill="1" applyBorder="1" applyProtection="1">
      <alignment vertical="center"/>
      <protection hidden="1"/>
    </xf>
    <xf numFmtId="0" fontId="0" fillId="12" borderId="109" xfId="0" applyFill="1" applyBorder="1" applyAlignment="1" applyProtection="1">
      <alignment horizontal="center" vertical="center"/>
      <protection hidden="1"/>
    </xf>
    <xf numFmtId="0" fontId="0" fillId="12" borderId="110" xfId="0" applyFill="1" applyBorder="1" applyAlignment="1" applyProtection="1">
      <alignment horizontal="center" vertical="center"/>
      <protection hidden="1"/>
    </xf>
    <xf numFmtId="0" fontId="0" fillId="12" borderId="86" xfId="0" applyFill="1" applyBorder="1" applyAlignment="1" applyProtection="1">
      <alignment horizontal="center" vertical="center"/>
      <protection hidden="1"/>
    </xf>
    <xf numFmtId="0" fontId="0" fillId="12" borderId="93" xfId="0" applyFill="1" applyBorder="1" applyProtection="1">
      <alignment vertical="center"/>
      <protection hidden="1"/>
    </xf>
    <xf numFmtId="0" fontId="0" fillId="12" borderId="22" xfId="0" applyFill="1" applyBorder="1" applyAlignment="1" applyProtection="1">
      <alignment horizontal="center" vertical="center"/>
      <protection hidden="1"/>
    </xf>
    <xf numFmtId="0" fontId="0" fillId="12" borderId="111" xfId="0" applyFill="1" applyBorder="1" applyAlignment="1" applyProtection="1">
      <alignment horizontal="center" vertical="center"/>
      <protection hidden="1"/>
    </xf>
    <xf numFmtId="0" fontId="0" fillId="12" borderId="94" xfId="0" applyFill="1" applyBorder="1" applyAlignment="1" applyProtection="1">
      <alignment horizontal="center" vertical="center"/>
      <protection hidden="1"/>
    </xf>
    <xf numFmtId="0" fontId="0" fillId="12" borderId="98" xfId="0" applyFill="1" applyBorder="1" applyProtection="1">
      <alignment vertical="center"/>
      <protection hidden="1"/>
    </xf>
    <xf numFmtId="0" fontId="0" fillId="12" borderId="112" xfId="0" applyFill="1" applyBorder="1" applyAlignment="1" applyProtection="1">
      <alignment horizontal="center" vertical="center"/>
      <protection hidden="1"/>
    </xf>
    <xf numFmtId="0" fontId="0" fillId="12" borderId="113" xfId="0" applyFill="1" applyBorder="1" applyAlignment="1" applyProtection="1">
      <alignment horizontal="center" vertical="center"/>
      <protection hidden="1"/>
    </xf>
    <xf numFmtId="0" fontId="0" fillId="12" borderId="100" xfId="0" applyFill="1" applyBorder="1" applyAlignment="1" applyProtection="1">
      <alignment horizontal="center" vertical="center"/>
      <protection hidden="1"/>
    </xf>
    <xf numFmtId="0" fontId="0" fillId="12" borderId="99" xfId="0" applyFill="1" applyBorder="1" applyAlignment="1" applyProtection="1">
      <alignment horizontal="center" vertical="center"/>
      <protection hidden="1"/>
    </xf>
    <xf numFmtId="0" fontId="0" fillId="12" borderId="102" xfId="0" applyFill="1" applyBorder="1" applyAlignment="1" applyProtection="1">
      <alignment horizontal="center" vertical="center"/>
      <protection hidden="1"/>
    </xf>
    <xf numFmtId="0" fontId="0" fillId="12" borderId="103" xfId="0" applyFill="1" applyBorder="1" applyAlignment="1" applyProtection="1">
      <alignment horizontal="center" vertical="center"/>
      <protection hidden="1"/>
    </xf>
    <xf numFmtId="0" fontId="0" fillId="12" borderId="104" xfId="0" applyFill="1" applyBorder="1" applyAlignment="1" applyProtection="1">
      <alignment horizontal="center" vertical="center"/>
      <protection hidden="1"/>
    </xf>
    <xf numFmtId="0" fontId="0" fillId="12" borderId="105" xfId="0" applyFill="1" applyBorder="1" applyAlignment="1" applyProtection="1">
      <alignment horizontal="center" vertical="center"/>
      <protection hidden="1"/>
    </xf>
    <xf numFmtId="1" fontId="0" fillId="12" borderId="111" xfId="0" applyNumberFormat="1" applyFill="1" applyBorder="1" applyAlignment="1" applyProtection="1">
      <alignment horizontal="center" vertical="center"/>
      <protection hidden="1"/>
    </xf>
    <xf numFmtId="0" fontId="0" fillId="13" borderId="101" xfId="0" applyFill="1" applyBorder="1" applyAlignment="1" applyProtection="1">
      <alignment horizontal="left" vertical="center"/>
      <protection hidden="1"/>
    </xf>
    <xf numFmtId="0" fontId="0" fillId="13" borderId="102" xfId="0" applyFill="1" applyBorder="1" applyProtection="1">
      <alignment vertical="center"/>
      <protection hidden="1"/>
    </xf>
    <xf numFmtId="0" fontId="0" fillId="13" borderId="103" xfId="0" applyFill="1" applyBorder="1" applyProtection="1">
      <alignment vertical="center"/>
      <protection hidden="1"/>
    </xf>
    <xf numFmtId="0" fontId="0" fillId="13" borderId="104" xfId="0" applyFill="1" applyBorder="1" applyProtection="1">
      <alignment vertical="center"/>
      <protection hidden="1"/>
    </xf>
    <xf numFmtId="0" fontId="0" fillId="13" borderId="105" xfId="0" applyFill="1" applyBorder="1" applyProtection="1">
      <alignment vertical="center"/>
      <protection hidden="1"/>
    </xf>
    <xf numFmtId="0" fontId="0" fillId="13" borderId="106" xfId="0" applyFill="1" applyBorder="1" applyAlignment="1" applyProtection="1">
      <alignment horizontal="center" vertical="center"/>
      <protection hidden="1"/>
    </xf>
    <xf numFmtId="0" fontId="0" fillId="13" borderId="107" xfId="0" applyFill="1" applyBorder="1" applyAlignment="1" applyProtection="1">
      <alignment horizontal="center" vertical="center"/>
      <protection hidden="1"/>
    </xf>
    <xf numFmtId="0" fontId="0" fillId="13" borderId="92" xfId="0" applyFill="1" applyBorder="1" applyAlignment="1" applyProtection="1">
      <alignment horizontal="center" vertical="center"/>
      <protection hidden="1"/>
    </xf>
    <xf numFmtId="0" fontId="0" fillId="13" borderId="108" xfId="0" applyFill="1" applyBorder="1" applyAlignment="1" applyProtection="1">
      <alignment horizontal="center" vertical="center"/>
      <protection hidden="1"/>
    </xf>
    <xf numFmtId="0" fontId="0" fillId="13" borderId="88" xfId="0" applyFill="1" applyBorder="1" applyAlignment="1" applyProtection="1">
      <alignment horizontal="center" vertical="center"/>
      <protection hidden="1"/>
    </xf>
    <xf numFmtId="0" fontId="0" fillId="13" borderId="109" xfId="0" applyFill="1" applyBorder="1" applyAlignment="1" applyProtection="1">
      <alignment horizontal="center" vertical="center"/>
      <protection hidden="1"/>
    </xf>
    <xf numFmtId="0" fontId="0" fillId="13" borderId="111" xfId="2" applyNumberFormat="1" applyFont="1" applyFill="1" applyBorder="1" applyAlignment="1" applyProtection="1">
      <alignment horizontal="center" vertical="center"/>
      <protection hidden="1"/>
    </xf>
    <xf numFmtId="0" fontId="0" fillId="13" borderId="97" xfId="2" applyNumberFormat="1" applyFont="1" applyFill="1" applyBorder="1" applyAlignment="1" applyProtection="1">
      <alignment horizontal="center" vertical="center"/>
      <protection hidden="1"/>
    </xf>
    <xf numFmtId="0" fontId="0" fillId="13" borderId="94" xfId="2" applyNumberFormat="1" applyFont="1" applyFill="1" applyBorder="1" applyAlignment="1" applyProtection="1">
      <alignment horizontal="center" vertical="center"/>
      <protection hidden="1"/>
    </xf>
    <xf numFmtId="0" fontId="0" fillId="13" borderId="93" xfId="0" applyFill="1" applyBorder="1" applyAlignment="1" applyProtection="1">
      <alignment horizontal="center" vertical="center"/>
      <protection hidden="1"/>
    </xf>
    <xf numFmtId="0" fontId="0" fillId="13" borderId="111" xfId="0" applyFill="1" applyBorder="1" applyAlignment="1" applyProtection="1">
      <alignment horizontal="center" vertical="center"/>
      <protection hidden="1"/>
    </xf>
    <xf numFmtId="0" fontId="0" fillId="13" borderId="98" xfId="0" applyFill="1" applyBorder="1" applyAlignment="1" applyProtection="1">
      <alignment horizontal="center" vertical="center"/>
      <protection hidden="1"/>
    </xf>
    <xf numFmtId="0" fontId="0" fillId="13" borderId="112" xfId="0" applyFill="1" applyBorder="1" applyAlignment="1" applyProtection="1">
      <alignment horizontal="center" vertical="center"/>
      <protection hidden="1"/>
    </xf>
    <xf numFmtId="0" fontId="0" fillId="13" borderId="113" xfId="0" applyFill="1" applyBorder="1" applyAlignment="1" applyProtection="1">
      <alignment horizontal="center" vertical="center"/>
      <protection hidden="1"/>
    </xf>
    <xf numFmtId="0" fontId="0" fillId="13" borderId="100" xfId="0" applyFill="1" applyBorder="1" applyAlignment="1" applyProtection="1">
      <alignment horizontal="center" vertical="center"/>
      <protection hidden="1"/>
    </xf>
    <xf numFmtId="0" fontId="0" fillId="13" borderId="99" xfId="0" applyFill="1" applyBorder="1" applyAlignment="1" applyProtection="1">
      <alignment horizontal="center" vertical="center"/>
      <protection hidden="1"/>
    </xf>
    <xf numFmtId="0" fontId="0" fillId="13" borderId="102" xfId="0" applyFill="1" applyBorder="1" applyAlignment="1" applyProtection="1">
      <alignment horizontal="center" vertical="center"/>
      <protection hidden="1"/>
    </xf>
    <xf numFmtId="0" fontId="0" fillId="13" borderId="103" xfId="0" applyFill="1" applyBorder="1" applyAlignment="1" applyProtection="1">
      <alignment horizontal="center" vertical="center"/>
      <protection hidden="1"/>
    </xf>
    <xf numFmtId="0" fontId="0" fillId="13" borderId="104" xfId="0" applyFill="1" applyBorder="1" applyAlignment="1" applyProtection="1">
      <alignment horizontal="center" vertical="center"/>
      <protection hidden="1"/>
    </xf>
    <xf numFmtId="0" fontId="0" fillId="13" borderId="105" xfId="0" applyFill="1" applyBorder="1" applyAlignment="1" applyProtection="1">
      <alignment horizontal="center" vertical="center"/>
      <protection hidden="1"/>
    </xf>
    <xf numFmtId="0" fontId="0" fillId="13" borderId="82" xfId="0" applyFill="1" applyBorder="1" applyAlignment="1" applyProtection="1">
      <alignment horizontal="center" vertical="center"/>
      <protection hidden="1"/>
    </xf>
    <xf numFmtId="0" fontId="0" fillId="13" borderId="55" xfId="0" applyFill="1" applyBorder="1" applyAlignment="1" applyProtection="1">
      <alignment horizontal="center" vertical="center"/>
      <protection hidden="1"/>
    </xf>
    <xf numFmtId="0" fontId="0" fillId="13" borderId="97" xfId="0" applyFill="1" applyBorder="1" applyAlignment="1" applyProtection="1">
      <alignment horizontal="center" vertical="center"/>
      <protection hidden="1"/>
    </xf>
    <xf numFmtId="0" fontId="0" fillId="13" borderId="94" xfId="0" applyFill="1" applyBorder="1" applyAlignment="1" applyProtection="1">
      <alignment horizontal="center" vertical="center"/>
      <protection hidden="1"/>
    </xf>
    <xf numFmtId="0" fontId="7" fillId="0" borderId="0" xfId="0" applyFont="1" applyAlignment="1">
      <alignment horizontal="left" vertical="center" wrapText="1"/>
    </xf>
    <xf numFmtId="0" fontId="7" fillId="0" borderId="0" xfId="0" applyFont="1" applyAlignment="1">
      <alignmen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9" fillId="0" borderId="74" xfId="0" applyFont="1" applyBorder="1" applyAlignment="1">
      <alignment horizontal="center" vertical="center"/>
    </xf>
    <xf numFmtId="0" fontId="9" fillId="0" borderId="11" xfId="0" applyFont="1" applyBorder="1" applyAlignment="1">
      <alignment horizontal="center" vertical="center"/>
    </xf>
    <xf numFmtId="0" fontId="21"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68" xfId="0" applyBorder="1" applyAlignment="1">
      <alignment horizontal="center" vertical="center" wrapText="1"/>
    </xf>
    <xf numFmtId="0" fontId="0" fillId="0" borderId="43" xfId="0" applyBorder="1" applyAlignment="1">
      <alignment horizontal="center" vertical="center" wrapText="1"/>
    </xf>
    <xf numFmtId="0" fontId="0" fillId="0" borderId="85" xfId="0" applyBorder="1" applyAlignment="1">
      <alignment horizontal="left" vertical="center" wrapText="1"/>
    </xf>
    <xf numFmtId="0" fontId="0" fillId="0" borderId="78" xfId="0" applyBorder="1" applyAlignment="1">
      <alignment horizontal="left" vertical="center" wrapText="1"/>
    </xf>
    <xf numFmtId="0" fontId="7" fillId="0" borderId="0" xfId="0" applyFont="1">
      <alignment vertical="center"/>
    </xf>
    <xf numFmtId="0" fontId="8" fillId="0" borderId="77" xfId="0" applyFont="1" applyBorder="1" applyAlignment="1">
      <alignment horizontal="left" vertical="center" wrapText="1"/>
    </xf>
    <xf numFmtId="0" fontId="8" fillId="0" borderId="33" xfId="0" applyFont="1" applyBorder="1" applyAlignment="1">
      <alignment horizontal="left" vertical="center" wrapText="1"/>
    </xf>
    <xf numFmtId="0" fontId="9" fillId="0" borderId="67" xfId="0" applyFont="1" applyBorder="1" applyAlignment="1">
      <alignment horizontal="center" vertical="center"/>
    </xf>
    <xf numFmtId="0" fontId="9" fillId="0" borderId="34" xfId="0" applyFont="1" applyBorder="1" applyAlignment="1">
      <alignment horizontal="center"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0" xfId="0" applyFont="1" applyAlignment="1" applyProtection="1">
      <alignment horizontal="center" vertical="center"/>
      <protection locked="0"/>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top" wrapText="1"/>
    </xf>
    <xf numFmtId="0" fontId="0" fillId="0" borderId="42" xfId="0" applyBorder="1" applyAlignment="1">
      <alignment horizontal="left" vertical="center"/>
    </xf>
    <xf numFmtId="0" fontId="0" fillId="0" borderId="13" xfId="0" applyBorder="1" applyAlignment="1">
      <alignment horizontal="left" vertical="center"/>
    </xf>
    <xf numFmtId="0" fontId="7" fillId="0" borderId="42" xfId="0" applyFont="1" applyBorder="1" applyAlignment="1">
      <alignment horizontal="left" vertical="center" wrapText="1"/>
    </xf>
    <xf numFmtId="0" fontId="7" fillId="0" borderId="13" xfId="0" applyFont="1" applyBorder="1" applyAlignment="1">
      <alignment horizontal="left" vertical="center" wrapText="1"/>
    </xf>
    <xf numFmtId="0" fontId="21" fillId="0" borderId="69" xfId="0" applyFont="1" applyBorder="1" applyAlignment="1">
      <alignment horizontal="center" vertical="center" wrapText="1"/>
    </xf>
    <xf numFmtId="0" fontId="6" fillId="5" borderId="0" xfId="0" applyFont="1" applyFill="1" applyAlignment="1">
      <alignment horizontal="center" vertical="center"/>
    </xf>
    <xf numFmtId="0" fontId="0" fillId="5" borderId="0" xfId="0" applyFill="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6"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7" fillId="0" borderId="5" xfId="0" applyFont="1" applyBorder="1" applyProtection="1">
      <alignment vertic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9" fillId="0" borderId="7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 fillId="0" borderId="12"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9" fillId="0" borderId="6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8" fillId="0" borderId="58"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7" xfId="0" applyFont="1" applyBorder="1" applyAlignment="1">
      <alignment horizontal="center" vertical="center"/>
    </xf>
    <xf numFmtId="0" fontId="0" fillId="4" borderId="69"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6"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cellXfs>
  <cellStyles count="4">
    <cellStyle name="パーセント" xfId="2" builtinId="5"/>
    <cellStyle name="桁区切り" xfId="1" builtinId="6"/>
    <cellStyle name="標準" xfId="0" builtinId="0"/>
    <cellStyle name="標準 2" xfId="3" xr:uid="{FFE8C833-A048-46C3-927F-D86B9A6C25B8}"/>
  </cellStyles>
  <dxfs count="3">
    <dxf>
      <fill>
        <patternFill>
          <bgColor rgb="FFFFFFCC"/>
        </patternFill>
      </fill>
    </dxf>
    <dxf>
      <fill>
        <patternFill>
          <bgColor rgb="FFCCFFFF"/>
        </patternFill>
      </fill>
    </dxf>
    <dxf>
      <fill>
        <patternFill>
          <bgColor theme="5" tint="0.79998168889431442"/>
        </patternFill>
      </fill>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1" name="Text Box 92">
          <a:extLst>
            <a:ext uri="{FF2B5EF4-FFF2-40B4-BE49-F238E27FC236}">
              <a16:creationId xmlns:a16="http://schemas.microsoft.com/office/drawing/2014/main" id="{00000000-0008-0000-0100-000015000000}"/>
            </a:ext>
          </a:extLst>
        </xdr:cNvPr>
        <xdr:cNvSpPr txBox="1">
          <a:spLocks noChangeArrowheads="1"/>
        </xdr:cNvSpPr>
      </xdr:nvSpPr>
      <xdr:spPr bwMode="auto">
        <a:xfrm>
          <a:off x="2807142" y="9268847"/>
          <a:ext cx="895184" cy="23191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22" name="Text Box 93">
          <a:extLst>
            <a:ext uri="{FF2B5EF4-FFF2-40B4-BE49-F238E27FC236}">
              <a16:creationId xmlns:a16="http://schemas.microsoft.com/office/drawing/2014/main" id="{00000000-0008-0000-0100-000016000000}"/>
            </a:ext>
          </a:extLst>
        </xdr:cNvPr>
        <xdr:cNvSpPr txBox="1">
          <a:spLocks noChangeArrowheads="1"/>
        </xdr:cNvSpPr>
      </xdr:nvSpPr>
      <xdr:spPr bwMode="auto">
        <a:xfrm>
          <a:off x="4343869" y="9272022"/>
          <a:ext cx="70024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35" name="Text Box 92">
          <a:extLst>
            <a:ext uri="{FF2B5EF4-FFF2-40B4-BE49-F238E27FC236}">
              <a16:creationId xmlns:a16="http://schemas.microsoft.com/office/drawing/2014/main" id="{00000000-0008-0000-0100-000023000000}"/>
            </a:ext>
          </a:extLst>
        </xdr:cNvPr>
        <xdr:cNvSpPr txBox="1">
          <a:spLocks noChangeArrowheads="1"/>
        </xdr:cNvSpPr>
      </xdr:nvSpPr>
      <xdr:spPr bwMode="auto">
        <a:xfrm>
          <a:off x="5725796" y="9272022"/>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36" name="Text Box 92">
          <a:extLst>
            <a:ext uri="{FF2B5EF4-FFF2-40B4-BE49-F238E27FC236}">
              <a16:creationId xmlns:a16="http://schemas.microsoft.com/office/drawing/2014/main" id="{00000000-0008-0000-0100-000024000000}"/>
            </a:ext>
          </a:extLst>
        </xdr:cNvPr>
        <xdr:cNvSpPr txBox="1">
          <a:spLocks noChangeArrowheads="1"/>
        </xdr:cNvSpPr>
      </xdr:nvSpPr>
      <xdr:spPr bwMode="auto">
        <a:xfrm>
          <a:off x="281031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37" name="Text Box 92">
          <a:extLst>
            <a:ext uri="{FF2B5EF4-FFF2-40B4-BE49-F238E27FC236}">
              <a16:creationId xmlns:a16="http://schemas.microsoft.com/office/drawing/2014/main" id="{00000000-0008-0000-0100-000025000000}"/>
            </a:ext>
          </a:extLst>
        </xdr:cNvPr>
        <xdr:cNvSpPr txBox="1">
          <a:spLocks noChangeArrowheads="1"/>
        </xdr:cNvSpPr>
      </xdr:nvSpPr>
      <xdr:spPr bwMode="auto">
        <a:xfrm>
          <a:off x="434770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38" name="Text Box 92">
          <a:extLst>
            <a:ext uri="{FF2B5EF4-FFF2-40B4-BE49-F238E27FC236}">
              <a16:creationId xmlns:a16="http://schemas.microsoft.com/office/drawing/2014/main" id="{00000000-0008-0000-0100-000026000000}"/>
            </a:ext>
          </a:extLst>
        </xdr:cNvPr>
        <xdr:cNvSpPr txBox="1">
          <a:spLocks noChangeArrowheads="1"/>
        </xdr:cNvSpPr>
      </xdr:nvSpPr>
      <xdr:spPr bwMode="auto">
        <a:xfrm>
          <a:off x="6260991" y="3084914"/>
          <a:ext cx="1016248"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33" name="Text Box 23">
          <a:extLst>
            <a:ext uri="{FF2B5EF4-FFF2-40B4-BE49-F238E27FC236}">
              <a16:creationId xmlns:a16="http://schemas.microsoft.com/office/drawing/2014/main" id="{00000000-0008-0000-0100-000021000000}"/>
            </a:ext>
          </a:extLst>
        </xdr:cNvPr>
        <xdr:cNvSpPr txBox="1">
          <a:spLocks noChangeArrowheads="1"/>
        </xdr:cNvSpPr>
      </xdr:nvSpPr>
      <xdr:spPr bwMode="auto">
        <a:xfrm>
          <a:off x="4755791" y="807366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34" name="Text Box 24">
          <a:extLst>
            <a:ext uri="{FF2B5EF4-FFF2-40B4-BE49-F238E27FC236}">
              <a16:creationId xmlns:a16="http://schemas.microsoft.com/office/drawing/2014/main" id="{00000000-0008-0000-0100-000022000000}"/>
            </a:ext>
          </a:extLst>
        </xdr:cNvPr>
        <xdr:cNvSpPr txBox="1">
          <a:spLocks noChangeArrowheads="1"/>
        </xdr:cNvSpPr>
      </xdr:nvSpPr>
      <xdr:spPr bwMode="auto">
        <a:xfrm>
          <a:off x="6272448" y="807366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39" name="Text Box 101">
          <a:extLst>
            <a:ext uri="{FF2B5EF4-FFF2-40B4-BE49-F238E27FC236}">
              <a16:creationId xmlns:a16="http://schemas.microsoft.com/office/drawing/2014/main" id="{00000000-0008-0000-0100-000027000000}"/>
            </a:ext>
          </a:extLst>
        </xdr:cNvPr>
        <xdr:cNvSpPr txBox="1">
          <a:spLocks noChangeArrowheads="1"/>
        </xdr:cNvSpPr>
      </xdr:nvSpPr>
      <xdr:spPr bwMode="auto">
        <a:xfrm>
          <a:off x="3020695" y="900090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40" name="Text Box 102">
          <a:extLst>
            <a:ext uri="{FF2B5EF4-FFF2-40B4-BE49-F238E27FC236}">
              <a16:creationId xmlns:a16="http://schemas.microsoft.com/office/drawing/2014/main" id="{00000000-0008-0000-0100-000028000000}"/>
            </a:ext>
          </a:extLst>
        </xdr:cNvPr>
        <xdr:cNvSpPr txBox="1">
          <a:spLocks noChangeArrowheads="1"/>
        </xdr:cNvSpPr>
      </xdr:nvSpPr>
      <xdr:spPr bwMode="auto">
        <a:xfrm>
          <a:off x="4501599" y="716978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41" name="Text Box 103">
          <a:extLst>
            <a:ext uri="{FF2B5EF4-FFF2-40B4-BE49-F238E27FC236}">
              <a16:creationId xmlns:a16="http://schemas.microsoft.com/office/drawing/2014/main" id="{00000000-0008-0000-0100-000029000000}"/>
            </a:ext>
          </a:extLst>
        </xdr:cNvPr>
        <xdr:cNvSpPr txBox="1">
          <a:spLocks noChangeArrowheads="1"/>
        </xdr:cNvSpPr>
      </xdr:nvSpPr>
      <xdr:spPr bwMode="auto">
        <a:xfrm>
          <a:off x="6272448" y="716978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42" name="Text Box 100">
          <a:extLst>
            <a:ext uri="{FF2B5EF4-FFF2-40B4-BE49-F238E27FC236}">
              <a16:creationId xmlns:a16="http://schemas.microsoft.com/office/drawing/2014/main" id="{00000000-0008-0000-0100-00002A000000}"/>
            </a:ext>
          </a:extLst>
        </xdr:cNvPr>
        <xdr:cNvSpPr txBox="1">
          <a:spLocks noChangeArrowheads="1"/>
        </xdr:cNvSpPr>
      </xdr:nvSpPr>
      <xdr:spPr bwMode="auto">
        <a:xfrm>
          <a:off x="6262923"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43" name="Text Box 100">
          <a:extLst>
            <a:ext uri="{FF2B5EF4-FFF2-40B4-BE49-F238E27FC236}">
              <a16:creationId xmlns:a16="http://schemas.microsoft.com/office/drawing/2014/main" id="{00000000-0008-0000-0100-00002B000000}"/>
            </a:ext>
          </a:extLst>
        </xdr:cNvPr>
        <xdr:cNvSpPr txBox="1">
          <a:spLocks noChangeArrowheads="1"/>
        </xdr:cNvSpPr>
      </xdr:nvSpPr>
      <xdr:spPr bwMode="auto">
        <a:xfrm>
          <a:off x="4751346"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3009900" y="7162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45" name="Text Box 20">
          <a:extLst>
            <a:ext uri="{FF2B5EF4-FFF2-40B4-BE49-F238E27FC236}">
              <a16:creationId xmlns:a16="http://schemas.microsoft.com/office/drawing/2014/main" id="{00000000-0008-0000-0100-00002D000000}"/>
            </a:ext>
          </a:extLst>
        </xdr:cNvPr>
        <xdr:cNvSpPr txBox="1">
          <a:spLocks noChangeArrowheads="1"/>
        </xdr:cNvSpPr>
      </xdr:nvSpPr>
      <xdr:spPr bwMode="auto">
        <a:xfrm>
          <a:off x="3009900" y="806477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077261" y="3602131"/>
          <a:ext cx="3302546" cy="762000"/>
          <a:chOff x="3777029" y="5978769"/>
          <a:chExt cx="3305908" cy="762000"/>
        </a:xfrm>
      </xdr:grpSpPr>
      <xdr:sp macro="" textlink="">
        <xdr:nvSpPr>
          <xdr:cNvPr id="47" name="Line 3">
            <a:extLst>
              <a:ext uri="{FF2B5EF4-FFF2-40B4-BE49-F238E27FC236}">
                <a16:creationId xmlns:a16="http://schemas.microsoft.com/office/drawing/2014/main" id="{00000000-0008-0000-0100-00002F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75">
            <a:extLst>
              <a:ext uri="{FF2B5EF4-FFF2-40B4-BE49-F238E27FC236}">
                <a16:creationId xmlns:a16="http://schemas.microsoft.com/office/drawing/2014/main" id="{00000000-0008-0000-0100-000030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76">
            <a:extLst>
              <a:ext uri="{FF2B5EF4-FFF2-40B4-BE49-F238E27FC236}">
                <a16:creationId xmlns:a16="http://schemas.microsoft.com/office/drawing/2014/main" id="{00000000-0008-0000-0100-000031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78">
            <a:extLst>
              <a:ext uri="{FF2B5EF4-FFF2-40B4-BE49-F238E27FC236}">
                <a16:creationId xmlns:a16="http://schemas.microsoft.com/office/drawing/2014/main" id="{00000000-0008-0000-0100-000032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5">
            <a:extLst>
              <a:ext uri="{FF2B5EF4-FFF2-40B4-BE49-F238E27FC236}">
                <a16:creationId xmlns:a16="http://schemas.microsoft.com/office/drawing/2014/main" id="{00000000-0008-0000-0100-000033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85">
            <a:extLst>
              <a:ext uri="{FF2B5EF4-FFF2-40B4-BE49-F238E27FC236}">
                <a16:creationId xmlns:a16="http://schemas.microsoft.com/office/drawing/2014/main" id="{00000000-0008-0000-0100-000036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1" name="Text Box 92">
          <a:extLst>
            <a:ext uri="{FF2B5EF4-FFF2-40B4-BE49-F238E27FC236}">
              <a16:creationId xmlns:a16="http://schemas.microsoft.com/office/drawing/2014/main" id="{00000000-0008-0000-0200-000015000000}"/>
            </a:ext>
          </a:extLst>
        </xdr:cNvPr>
        <xdr:cNvSpPr txBox="1">
          <a:spLocks noChangeArrowheads="1"/>
        </xdr:cNvSpPr>
      </xdr:nvSpPr>
      <xdr:spPr bwMode="auto">
        <a:xfrm>
          <a:off x="2807140"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6261" y="2105025"/>
          <a:ext cx="2972214" cy="9620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台のみ、あるいは複数台であっても同一型式の機器しかない場合は、本シートは省略し、様式</a:t>
          </a:r>
          <a:r>
            <a:rPr kumimoji="1" lang="en-US" altLang="ja-JP" sz="900"/>
            <a:t>2(2/3)(</a:t>
          </a:r>
          <a:r>
            <a:rPr kumimoji="1" lang="ja-JP" altLang="en-US" sz="900"/>
            <a:t>全系統の集計表</a:t>
          </a:r>
          <a:r>
            <a:rPr kumimoji="1" lang="en-US" altLang="ja-JP" sz="900"/>
            <a:t>)</a:t>
          </a:r>
          <a:r>
            <a:rPr kumimoji="1" lang="ja-JP" altLang="en-US" sz="900"/>
            <a:t>及び、様式</a:t>
          </a:r>
          <a:r>
            <a:rPr kumimoji="1" lang="en-US" altLang="ja-JP" sz="900"/>
            <a:t>2(2/3)(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72958" y="6127750"/>
          <a:ext cx="3297767" cy="762000"/>
          <a:chOff x="3777029" y="5978769"/>
          <a:chExt cx="3305908" cy="762000"/>
        </a:xfrm>
      </xdr:grpSpPr>
      <xdr:sp macro="" textlink="">
        <xdr:nvSpPr>
          <xdr:cNvPr id="52" name="Line 3">
            <a:extLst>
              <a:ext uri="{FF2B5EF4-FFF2-40B4-BE49-F238E27FC236}">
                <a16:creationId xmlns:a16="http://schemas.microsoft.com/office/drawing/2014/main" id="{00000000-0008-0000-0200-000034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75">
            <a:extLst>
              <a:ext uri="{FF2B5EF4-FFF2-40B4-BE49-F238E27FC236}">
                <a16:creationId xmlns:a16="http://schemas.microsoft.com/office/drawing/2014/main" id="{00000000-0008-0000-0200-00003A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76">
            <a:extLst>
              <a:ext uri="{FF2B5EF4-FFF2-40B4-BE49-F238E27FC236}">
                <a16:creationId xmlns:a16="http://schemas.microsoft.com/office/drawing/2014/main" id="{00000000-0008-0000-0200-00003B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78">
            <a:extLst>
              <a:ext uri="{FF2B5EF4-FFF2-40B4-BE49-F238E27FC236}">
                <a16:creationId xmlns:a16="http://schemas.microsoft.com/office/drawing/2014/main" id="{00000000-0008-0000-0200-00003C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5">
            <a:extLst>
              <a:ext uri="{FF2B5EF4-FFF2-40B4-BE49-F238E27FC236}">
                <a16:creationId xmlns:a16="http://schemas.microsoft.com/office/drawing/2014/main" id="{00000000-0008-0000-0200-000036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6" name="Line 7">
            <a:extLst>
              <a:ext uri="{FF2B5EF4-FFF2-40B4-BE49-F238E27FC236}">
                <a16:creationId xmlns:a16="http://schemas.microsoft.com/office/drawing/2014/main" id="{00000000-0008-0000-0200-000038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00000000-0008-0000-0200-000039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4" name="Line 85">
            <a:extLst>
              <a:ext uri="{FF2B5EF4-FFF2-40B4-BE49-F238E27FC236}">
                <a16:creationId xmlns:a16="http://schemas.microsoft.com/office/drawing/2014/main" id="{00000000-0008-0000-0200-000040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72" name="Text Box 92">
          <a:extLst>
            <a:ext uri="{FF2B5EF4-FFF2-40B4-BE49-F238E27FC236}">
              <a16:creationId xmlns:a16="http://schemas.microsoft.com/office/drawing/2014/main" id="{00000000-0008-0000-0200-000048000000}"/>
            </a:ext>
          </a:extLst>
        </xdr:cNvPr>
        <xdr:cNvSpPr txBox="1">
          <a:spLocks noChangeArrowheads="1"/>
        </xdr:cNvSpPr>
      </xdr:nvSpPr>
      <xdr:spPr bwMode="auto">
        <a:xfrm>
          <a:off x="4342597" y="5039609"/>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73" name="Text Box 92">
          <a:extLst>
            <a:ext uri="{FF2B5EF4-FFF2-40B4-BE49-F238E27FC236}">
              <a16:creationId xmlns:a16="http://schemas.microsoft.com/office/drawing/2014/main" id="{00000000-0008-0000-0200-000049000000}"/>
            </a:ext>
          </a:extLst>
        </xdr:cNvPr>
        <xdr:cNvSpPr txBox="1">
          <a:spLocks noChangeArrowheads="1"/>
        </xdr:cNvSpPr>
      </xdr:nvSpPr>
      <xdr:spPr bwMode="auto">
        <a:xfrm>
          <a:off x="5714335"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74" name="Text Box 92">
          <a:extLst>
            <a:ext uri="{FF2B5EF4-FFF2-40B4-BE49-F238E27FC236}">
              <a16:creationId xmlns:a16="http://schemas.microsoft.com/office/drawing/2014/main" id="{00000000-0008-0000-0200-00004A000000}"/>
            </a:ext>
          </a:extLst>
        </xdr:cNvPr>
        <xdr:cNvSpPr txBox="1">
          <a:spLocks noChangeArrowheads="1"/>
        </xdr:cNvSpPr>
      </xdr:nvSpPr>
      <xdr:spPr bwMode="auto">
        <a:xfrm>
          <a:off x="2810315"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75" name="Text Box 92">
          <a:extLst>
            <a:ext uri="{FF2B5EF4-FFF2-40B4-BE49-F238E27FC236}">
              <a16:creationId xmlns:a16="http://schemas.microsoft.com/office/drawing/2014/main" id="{00000000-0008-0000-0200-00004B000000}"/>
            </a:ext>
          </a:extLst>
        </xdr:cNvPr>
        <xdr:cNvSpPr txBox="1">
          <a:spLocks noChangeArrowheads="1"/>
        </xdr:cNvSpPr>
      </xdr:nvSpPr>
      <xdr:spPr bwMode="auto">
        <a:xfrm>
          <a:off x="4339422" y="5508543"/>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76" name="Text Box 92">
          <a:extLst>
            <a:ext uri="{FF2B5EF4-FFF2-40B4-BE49-F238E27FC236}">
              <a16:creationId xmlns:a16="http://schemas.microsoft.com/office/drawing/2014/main" id="{00000000-0008-0000-0200-00004C000000}"/>
            </a:ext>
          </a:extLst>
        </xdr:cNvPr>
        <xdr:cNvSpPr txBox="1">
          <a:spLocks noChangeArrowheads="1"/>
        </xdr:cNvSpPr>
      </xdr:nvSpPr>
      <xdr:spPr bwMode="auto">
        <a:xfrm>
          <a:off x="5717510"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39" name="Text Box 23">
          <a:extLst>
            <a:ext uri="{FF2B5EF4-FFF2-40B4-BE49-F238E27FC236}">
              <a16:creationId xmlns:a16="http://schemas.microsoft.com/office/drawing/2014/main" id="{00000000-0008-0000-0200-000027000000}"/>
            </a:ext>
          </a:extLst>
        </xdr:cNvPr>
        <xdr:cNvSpPr txBox="1">
          <a:spLocks noChangeArrowheads="1"/>
        </xdr:cNvSpPr>
      </xdr:nvSpPr>
      <xdr:spPr bwMode="auto">
        <a:xfrm>
          <a:off x="4755791" y="824511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40" name="Text Box 24">
          <a:extLst>
            <a:ext uri="{FF2B5EF4-FFF2-40B4-BE49-F238E27FC236}">
              <a16:creationId xmlns:a16="http://schemas.microsoft.com/office/drawing/2014/main" id="{00000000-0008-0000-0200-000028000000}"/>
            </a:ext>
          </a:extLst>
        </xdr:cNvPr>
        <xdr:cNvSpPr txBox="1">
          <a:spLocks noChangeArrowheads="1"/>
        </xdr:cNvSpPr>
      </xdr:nvSpPr>
      <xdr:spPr bwMode="auto">
        <a:xfrm>
          <a:off x="6272448" y="824511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41" name="Text Box 101">
          <a:extLst>
            <a:ext uri="{FF2B5EF4-FFF2-40B4-BE49-F238E27FC236}">
              <a16:creationId xmlns:a16="http://schemas.microsoft.com/office/drawing/2014/main" id="{00000000-0008-0000-0200-000029000000}"/>
            </a:ext>
          </a:extLst>
        </xdr:cNvPr>
        <xdr:cNvSpPr txBox="1">
          <a:spLocks noChangeArrowheads="1"/>
        </xdr:cNvSpPr>
      </xdr:nvSpPr>
      <xdr:spPr bwMode="auto">
        <a:xfrm>
          <a:off x="3020695" y="917235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42" name="Text Box 102">
          <a:extLst>
            <a:ext uri="{FF2B5EF4-FFF2-40B4-BE49-F238E27FC236}">
              <a16:creationId xmlns:a16="http://schemas.microsoft.com/office/drawing/2014/main" id="{00000000-0008-0000-0200-00002A000000}"/>
            </a:ext>
          </a:extLst>
        </xdr:cNvPr>
        <xdr:cNvSpPr txBox="1">
          <a:spLocks noChangeArrowheads="1"/>
        </xdr:cNvSpPr>
      </xdr:nvSpPr>
      <xdr:spPr bwMode="auto">
        <a:xfrm>
          <a:off x="4501599" y="734123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43" name="Text Box 103">
          <a:extLst>
            <a:ext uri="{FF2B5EF4-FFF2-40B4-BE49-F238E27FC236}">
              <a16:creationId xmlns:a16="http://schemas.microsoft.com/office/drawing/2014/main" id="{00000000-0008-0000-0200-00002B000000}"/>
            </a:ext>
          </a:extLst>
        </xdr:cNvPr>
        <xdr:cNvSpPr txBox="1">
          <a:spLocks noChangeArrowheads="1"/>
        </xdr:cNvSpPr>
      </xdr:nvSpPr>
      <xdr:spPr bwMode="auto">
        <a:xfrm>
          <a:off x="6272448" y="73412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44" name="Text Box 100">
          <a:extLst>
            <a:ext uri="{FF2B5EF4-FFF2-40B4-BE49-F238E27FC236}">
              <a16:creationId xmlns:a16="http://schemas.microsoft.com/office/drawing/2014/main" id="{00000000-0008-0000-0200-00002C000000}"/>
            </a:ext>
          </a:extLst>
        </xdr:cNvPr>
        <xdr:cNvSpPr txBox="1">
          <a:spLocks noChangeArrowheads="1"/>
        </xdr:cNvSpPr>
      </xdr:nvSpPr>
      <xdr:spPr bwMode="auto">
        <a:xfrm>
          <a:off x="6262923"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45" name="Text Box 100">
          <a:extLst>
            <a:ext uri="{FF2B5EF4-FFF2-40B4-BE49-F238E27FC236}">
              <a16:creationId xmlns:a16="http://schemas.microsoft.com/office/drawing/2014/main" id="{00000000-0008-0000-0200-00002D000000}"/>
            </a:ext>
          </a:extLst>
        </xdr:cNvPr>
        <xdr:cNvSpPr txBox="1">
          <a:spLocks noChangeArrowheads="1"/>
        </xdr:cNvSpPr>
      </xdr:nvSpPr>
      <xdr:spPr bwMode="auto">
        <a:xfrm>
          <a:off x="4751346"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3009900" y="733425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3009900" y="823622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455920</xdr:colOff>
      <xdr:row>24</xdr:row>
      <xdr:rowOff>225561</xdr:rowOff>
    </xdr:to>
    <xdr:sp macro="" textlink="">
      <xdr:nvSpPr>
        <xdr:cNvPr id="3" name="Text Box 92">
          <a:extLst>
            <a:ext uri="{FF2B5EF4-FFF2-40B4-BE49-F238E27FC236}">
              <a16:creationId xmlns:a16="http://schemas.microsoft.com/office/drawing/2014/main" id="{DE71685E-CA66-449C-B2F0-BC83F4A1C8EE}"/>
            </a:ext>
          </a:extLst>
        </xdr:cNvPr>
        <xdr:cNvSpPr txBox="1">
          <a:spLocks noChangeArrowheads="1"/>
        </xdr:cNvSpPr>
      </xdr:nvSpPr>
      <xdr:spPr bwMode="auto">
        <a:xfrm>
          <a:off x="4180417" y="9546167"/>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5" name="Text Box 93">
          <a:extLst>
            <a:ext uri="{FF2B5EF4-FFF2-40B4-BE49-F238E27FC236}">
              <a16:creationId xmlns:a16="http://schemas.microsoft.com/office/drawing/2014/main" id="{F5E6B160-0F4D-4ED6-9746-51A7D66A95B0}"/>
            </a:ext>
          </a:extLst>
        </xdr:cNvPr>
        <xdr:cNvSpPr txBox="1">
          <a:spLocks noChangeArrowheads="1"/>
        </xdr:cNvSpPr>
      </xdr:nvSpPr>
      <xdr:spPr bwMode="auto">
        <a:xfrm>
          <a:off x="6360583" y="9546167"/>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6" name="Text Box 94">
          <a:extLst>
            <a:ext uri="{FF2B5EF4-FFF2-40B4-BE49-F238E27FC236}">
              <a16:creationId xmlns:a16="http://schemas.microsoft.com/office/drawing/2014/main" id="{CE4C7E7B-FD44-455E-B5F7-BD29AE49BFB3}"/>
            </a:ext>
          </a:extLst>
        </xdr:cNvPr>
        <xdr:cNvSpPr txBox="1">
          <a:spLocks noChangeArrowheads="1"/>
        </xdr:cNvSpPr>
      </xdr:nvSpPr>
      <xdr:spPr bwMode="auto">
        <a:xfrm>
          <a:off x="8540750" y="9546167"/>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8" name="Text Box 96">
          <a:extLst>
            <a:ext uri="{FF2B5EF4-FFF2-40B4-BE49-F238E27FC236}">
              <a16:creationId xmlns:a16="http://schemas.microsoft.com/office/drawing/2014/main" id="{02DB9B45-DC2B-4EDB-BD8C-E78F773A707F}"/>
            </a:ext>
          </a:extLst>
        </xdr:cNvPr>
        <xdr:cNvSpPr txBox="1">
          <a:spLocks noChangeArrowheads="1"/>
        </xdr:cNvSpPr>
      </xdr:nvSpPr>
      <xdr:spPr bwMode="auto">
        <a:xfrm>
          <a:off x="4180417" y="11292417"/>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10" name="Text Box 97">
          <a:extLst>
            <a:ext uri="{FF2B5EF4-FFF2-40B4-BE49-F238E27FC236}">
              <a16:creationId xmlns:a16="http://schemas.microsoft.com/office/drawing/2014/main" id="{D18D18EC-02D6-44A7-8D8F-D773A4F65978}"/>
            </a:ext>
          </a:extLst>
        </xdr:cNvPr>
        <xdr:cNvSpPr txBox="1">
          <a:spLocks noChangeArrowheads="1"/>
        </xdr:cNvSpPr>
      </xdr:nvSpPr>
      <xdr:spPr bwMode="auto">
        <a:xfrm>
          <a:off x="6360583" y="11292417"/>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12" name="Text Box 98">
          <a:extLst>
            <a:ext uri="{FF2B5EF4-FFF2-40B4-BE49-F238E27FC236}">
              <a16:creationId xmlns:a16="http://schemas.microsoft.com/office/drawing/2014/main" id="{92AB1E36-E74A-4C33-AA3C-EDA4A75A00C3}"/>
            </a:ext>
          </a:extLst>
        </xdr:cNvPr>
        <xdr:cNvSpPr txBox="1">
          <a:spLocks noChangeArrowheads="1"/>
        </xdr:cNvSpPr>
      </xdr:nvSpPr>
      <xdr:spPr bwMode="auto">
        <a:xfrm>
          <a:off x="8540750" y="11292417"/>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2133600</xdr:colOff>
      <xdr:row>3</xdr:row>
      <xdr:rowOff>12700</xdr:rowOff>
    </xdr:from>
    <xdr:to>
      <xdr:col>5</xdr:col>
      <xdr:colOff>2324100</xdr:colOff>
      <xdr:row>5</xdr:row>
      <xdr:rowOff>0</xdr:rowOff>
    </xdr:to>
    <xdr:sp macro="" textlink="">
      <xdr:nvSpPr>
        <xdr:cNvPr id="2" name="左中かっこ 1">
          <a:extLst>
            <a:ext uri="{FF2B5EF4-FFF2-40B4-BE49-F238E27FC236}">
              <a16:creationId xmlns:a16="http://schemas.microsoft.com/office/drawing/2014/main" id="{1781B05C-B672-47CF-E53E-2AD4F6797E5B}"/>
            </a:ext>
          </a:extLst>
        </xdr:cNvPr>
        <xdr:cNvSpPr/>
      </xdr:nvSpPr>
      <xdr:spPr>
        <a:xfrm>
          <a:off x="11417300" y="1155700"/>
          <a:ext cx="190500" cy="7493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17"/>
  <sheetViews>
    <sheetView showGridLines="0" zoomScaleNormal="100" zoomScaleSheetLayoutView="100" workbookViewId="0">
      <selection activeCell="A2" sqref="A2:E2"/>
    </sheetView>
  </sheetViews>
  <sheetFormatPr defaultColWidth="9" defaultRowHeight="13.5"/>
  <cols>
    <col min="1" max="1" width="29" style="41" customWidth="1"/>
    <col min="2" max="2" width="11.125" style="42" customWidth="1"/>
    <col min="3" max="5" width="22.625" style="43" customWidth="1"/>
    <col min="6" max="6" width="19.625" style="43" customWidth="1"/>
    <col min="7" max="7" width="4" style="43" customWidth="1"/>
    <col min="8" max="8" width="90.875" style="43" customWidth="1"/>
    <col min="9" max="16384" width="9" style="43"/>
  </cols>
  <sheetData>
    <row r="1" spans="1:8" ht="22.5" customHeight="1">
      <c r="A1" t="s">
        <v>302</v>
      </c>
    </row>
    <row r="2" spans="1:8" ht="24.75" customHeight="1">
      <c r="A2" s="450" t="s">
        <v>303</v>
      </c>
      <c r="B2" s="450"/>
      <c r="C2" s="450"/>
      <c r="D2" s="450"/>
      <c r="E2" s="450"/>
      <c r="F2" s="55"/>
      <c r="H2" s="7"/>
    </row>
    <row r="3" spans="1:8" ht="30" customHeight="1">
      <c r="A3" s="455" t="s">
        <v>90</v>
      </c>
      <c r="B3" s="456"/>
      <c r="C3" s="456"/>
      <c r="D3" s="456"/>
      <c r="E3" s="456"/>
      <c r="F3" s="2"/>
      <c r="G3" s="42"/>
      <c r="H3" s="429"/>
    </row>
    <row r="4" spans="1:8" ht="16.7" customHeight="1" thickBot="1">
      <c r="A4" s="6"/>
      <c r="B4" s="7"/>
      <c r="C4"/>
      <c r="D4" s="51"/>
      <c r="E4" s="3"/>
      <c r="H4" s="429"/>
    </row>
    <row r="5" spans="1:8" ht="60" customHeight="1">
      <c r="A5" s="435" t="s">
        <v>181</v>
      </c>
      <c r="B5" s="436"/>
      <c r="C5" s="439" t="s">
        <v>92</v>
      </c>
      <c r="D5" s="439" t="s">
        <v>26</v>
      </c>
      <c r="E5" s="441" t="s">
        <v>110</v>
      </c>
      <c r="F5" s="48"/>
      <c r="H5" s="21"/>
    </row>
    <row r="6" spans="1:8" ht="50.1" customHeight="1" thickBot="1">
      <c r="A6" s="437"/>
      <c r="B6" s="438"/>
      <c r="C6" s="440"/>
      <c r="D6" s="440"/>
      <c r="E6" s="442"/>
      <c r="F6" s="49"/>
    </row>
    <row r="7" spans="1:8" ht="39.950000000000003" customHeight="1">
      <c r="A7" s="23" t="s">
        <v>104</v>
      </c>
      <c r="B7" s="19" t="s">
        <v>19</v>
      </c>
      <c r="C7" s="20"/>
      <c r="D7" s="20"/>
      <c r="E7" s="24"/>
      <c r="F7" s="22"/>
      <c r="H7" s="50"/>
    </row>
    <row r="8" spans="1:8" ht="39.950000000000003" customHeight="1" thickBot="1">
      <c r="A8" s="25" t="s">
        <v>105</v>
      </c>
      <c r="B8" s="26" t="s">
        <v>17</v>
      </c>
      <c r="C8" s="77"/>
      <c r="D8" s="77"/>
      <c r="E8" s="28"/>
      <c r="F8" s="7"/>
      <c r="H8" s="50"/>
    </row>
    <row r="9" spans="1:8" ht="30" customHeight="1">
      <c r="A9" s="6"/>
      <c r="B9" s="7"/>
      <c r="C9" s="4"/>
      <c r="D9" s="4"/>
      <c r="E9"/>
      <c r="F9"/>
      <c r="H9" s="430"/>
    </row>
    <row r="10" spans="1:8" ht="30" customHeight="1" thickBot="1">
      <c r="A10" s="10" t="s">
        <v>5</v>
      </c>
      <c r="B10" s="11"/>
      <c r="C10" s="12"/>
      <c r="D10" s="12"/>
      <c r="E10"/>
      <c r="F10"/>
      <c r="H10" s="443"/>
    </row>
    <row r="11" spans="1:8" ht="36" customHeight="1">
      <c r="A11" s="451" t="s">
        <v>106</v>
      </c>
      <c r="B11" s="453" t="s">
        <v>17</v>
      </c>
      <c r="C11" s="29" t="s">
        <v>146</v>
      </c>
      <c r="D11" s="30" t="s">
        <v>18</v>
      </c>
      <c r="E11" s="31" t="s">
        <v>96</v>
      </c>
      <c r="F11"/>
      <c r="H11" s="430"/>
    </row>
    <row r="12" spans="1:8" ht="36" customHeight="1">
      <c r="A12" s="452"/>
      <c r="B12" s="454"/>
      <c r="C12" s="76">
        <f>IF(E16&gt;D16,E12,D12)</f>
        <v>0</v>
      </c>
      <c r="D12" s="32">
        <f>D7-C7</f>
        <v>0</v>
      </c>
      <c r="E12" s="33">
        <f>IFERROR(E7-C7,0)</f>
        <v>0</v>
      </c>
      <c r="F12"/>
      <c r="H12" s="430"/>
    </row>
    <row r="13" spans="1:8" ht="36" customHeight="1">
      <c r="A13" s="431" t="s">
        <v>107</v>
      </c>
      <c r="B13" s="433" t="s">
        <v>17</v>
      </c>
      <c r="C13" s="34" t="s">
        <v>147</v>
      </c>
      <c r="D13" s="35" t="s">
        <v>102</v>
      </c>
      <c r="E13" s="36" t="s">
        <v>101</v>
      </c>
      <c r="F13"/>
      <c r="H13" s="430"/>
    </row>
    <row r="14" spans="1:8" ht="36" customHeight="1" thickBot="1">
      <c r="A14" s="432"/>
      <c r="B14" s="434"/>
      <c r="C14" s="37">
        <f>IF(E16&gt;D16,E14,D14)</f>
        <v>0</v>
      </c>
      <c r="D14" s="38">
        <f>D8-C8</f>
        <v>0</v>
      </c>
      <c r="E14" s="39">
        <f>IFERROR(E8-C8,0)</f>
        <v>0</v>
      </c>
      <c r="F14"/>
      <c r="H14" s="430"/>
    </row>
    <row r="15" spans="1:8" ht="36" customHeight="1">
      <c r="A15" s="444" t="s">
        <v>108</v>
      </c>
      <c r="B15" s="446" t="s">
        <v>17</v>
      </c>
      <c r="C15" s="29" t="s">
        <v>150</v>
      </c>
      <c r="D15" s="30" t="s">
        <v>148</v>
      </c>
      <c r="E15" s="40" t="s">
        <v>149</v>
      </c>
      <c r="F15"/>
    </row>
    <row r="16" spans="1:8" ht="36" customHeight="1" thickBot="1">
      <c r="A16" s="445"/>
      <c r="B16" s="447"/>
      <c r="C16" s="37">
        <f>IF(E16&gt;D16,E16,D16)</f>
        <v>0</v>
      </c>
      <c r="D16" s="38">
        <f>D12+D14</f>
        <v>0</v>
      </c>
      <c r="E16" s="39">
        <f>IFERROR(E12+E14,0)</f>
        <v>0</v>
      </c>
      <c r="F16"/>
    </row>
    <row r="17" spans="1:6" ht="65.099999999999994" customHeight="1" thickBot="1">
      <c r="A17" s="448" t="s">
        <v>45</v>
      </c>
      <c r="B17" s="449"/>
      <c r="C17" s="56" t="s">
        <v>154</v>
      </c>
      <c r="D17" s="56" t="s">
        <v>155</v>
      </c>
      <c r="E17" s="57" t="s">
        <v>156</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3"/>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84"/>
  <sheetViews>
    <sheetView showGridLines="0" zoomScale="90" zoomScaleNormal="90" zoomScaleSheetLayoutView="100" workbookViewId="0">
      <selection activeCell="A2" sqref="A2:E2"/>
    </sheetView>
  </sheetViews>
  <sheetFormatPr defaultColWidth="9" defaultRowHeight="13.5"/>
  <cols>
    <col min="1" max="1" width="29" style="41" customWidth="1"/>
    <col min="2" max="2" width="11.125" style="42" customWidth="1"/>
    <col min="3" max="3" width="22" style="43" customWidth="1"/>
    <col min="4" max="4" width="19.625" style="43" customWidth="1"/>
    <col min="5" max="5" width="20.875" style="43" customWidth="1"/>
    <col min="6" max="7" width="2.875" style="43" customWidth="1"/>
    <col min="8" max="8" width="27.375" style="43" customWidth="1"/>
    <col min="9" max="9" width="89.375" style="43" customWidth="1"/>
    <col min="10" max="16384" width="9" style="43"/>
  </cols>
  <sheetData>
    <row r="1" spans="1:9" ht="22.5" customHeight="1">
      <c r="A1" t="s">
        <v>302</v>
      </c>
      <c r="H1" s="3" t="s">
        <v>12</v>
      </c>
    </row>
    <row r="2" spans="1:9" ht="24.75" customHeight="1">
      <c r="A2" s="450" t="s">
        <v>303</v>
      </c>
      <c r="B2" s="450"/>
      <c r="C2" s="450"/>
      <c r="D2" s="450"/>
      <c r="E2" s="450"/>
      <c r="F2" s="55"/>
      <c r="H2" s="5" t="s">
        <v>13</v>
      </c>
      <c r="I2" s="5" t="s">
        <v>14</v>
      </c>
    </row>
    <row r="3" spans="1:9" ht="30" customHeight="1">
      <c r="A3" s="464" t="s">
        <v>95</v>
      </c>
      <c r="B3" s="465"/>
      <c r="C3" s="465"/>
      <c r="D3" s="465"/>
      <c r="E3" s="465"/>
      <c r="F3" s="2"/>
      <c r="G3" s="42"/>
      <c r="H3" s="459" t="s">
        <v>100</v>
      </c>
      <c r="I3" s="461" t="s">
        <v>272</v>
      </c>
    </row>
    <row r="4" spans="1:9" ht="15.95" customHeight="1">
      <c r="A4" s="6"/>
      <c r="B4" s="7"/>
      <c r="C4"/>
      <c r="H4" s="460"/>
      <c r="I4" s="462"/>
    </row>
    <row r="5" spans="1:9" ht="39.950000000000003" customHeight="1" thickBot="1">
      <c r="A5" s="6"/>
      <c r="B5" s="7"/>
      <c r="C5"/>
      <c r="D5" s="63" t="s">
        <v>174</v>
      </c>
      <c r="E5" s="64" t="s">
        <v>103</v>
      </c>
      <c r="F5" s="47"/>
      <c r="H5" s="53" t="s">
        <v>113</v>
      </c>
      <c r="I5" s="8" t="s">
        <v>93</v>
      </c>
    </row>
    <row r="6" spans="1:9" ht="60" customHeight="1">
      <c r="A6" s="463" t="s">
        <v>182</v>
      </c>
      <c r="B6" s="436"/>
      <c r="C6" s="439" t="s">
        <v>92</v>
      </c>
      <c r="D6" s="439" t="s">
        <v>26</v>
      </c>
      <c r="E6" s="441" t="s">
        <v>110</v>
      </c>
      <c r="F6" s="48"/>
      <c r="H6" s="53" t="s">
        <v>1</v>
      </c>
      <c r="I6" s="8" t="s">
        <v>141</v>
      </c>
    </row>
    <row r="7" spans="1:9" ht="50.1" customHeight="1" thickBot="1">
      <c r="A7" s="437"/>
      <c r="B7" s="438"/>
      <c r="C7" s="440"/>
      <c r="D7" s="440"/>
      <c r="E7" s="442"/>
      <c r="F7" s="49"/>
      <c r="H7" s="53" t="s">
        <v>119</v>
      </c>
      <c r="I7" s="8" t="s">
        <v>99</v>
      </c>
    </row>
    <row r="8" spans="1:9" ht="39.950000000000003" customHeight="1">
      <c r="A8" s="23" t="s">
        <v>164</v>
      </c>
      <c r="B8" s="19" t="s">
        <v>24</v>
      </c>
      <c r="C8" s="58"/>
      <c r="D8" s="59"/>
      <c r="E8" s="60"/>
      <c r="F8" s="7"/>
      <c r="H8" s="53" t="s">
        <v>114</v>
      </c>
      <c r="I8" s="8" t="s">
        <v>143</v>
      </c>
    </row>
    <row r="9" spans="1:9" ht="39.950000000000003" customHeight="1">
      <c r="A9" s="71" t="s">
        <v>1</v>
      </c>
      <c r="B9" s="19" t="s">
        <v>25</v>
      </c>
      <c r="C9" s="72"/>
      <c r="D9" s="59"/>
      <c r="E9" s="60"/>
      <c r="F9" s="7"/>
      <c r="H9" s="54" t="s">
        <v>115</v>
      </c>
      <c r="I9" s="9" t="s">
        <v>85</v>
      </c>
    </row>
    <row r="10" spans="1:9" ht="39.950000000000003" customHeight="1">
      <c r="A10" s="23" t="s">
        <v>51</v>
      </c>
      <c r="B10" s="19" t="s">
        <v>25</v>
      </c>
      <c r="C10" s="58"/>
      <c r="D10" s="59"/>
      <c r="E10" s="60"/>
      <c r="F10" s="7"/>
      <c r="H10" s="54" t="s">
        <v>116</v>
      </c>
      <c r="I10" s="9" t="s">
        <v>42</v>
      </c>
    </row>
    <row r="11" spans="1:9" ht="39.950000000000003" customHeight="1">
      <c r="A11" s="23" t="s">
        <v>161</v>
      </c>
      <c r="B11" s="19" t="s">
        <v>24</v>
      </c>
      <c r="C11" s="61"/>
      <c r="D11" s="62"/>
      <c r="E11" s="60"/>
      <c r="F11" s="7"/>
      <c r="H11" s="52" t="s">
        <v>106</v>
      </c>
      <c r="I11" s="8" t="s">
        <v>157</v>
      </c>
    </row>
    <row r="12" spans="1:9" ht="39.950000000000003" customHeight="1">
      <c r="A12" s="23" t="s">
        <v>162</v>
      </c>
      <c r="B12" s="19" t="s">
        <v>19</v>
      </c>
      <c r="C12" s="20"/>
      <c r="D12" s="20"/>
      <c r="E12" s="24"/>
      <c r="F12" s="22"/>
      <c r="H12" s="54" t="s">
        <v>160</v>
      </c>
      <c r="I12" s="8" t="s">
        <v>158</v>
      </c>
    </row>
    <row r="13" spans="1:9" ht="39.950000000000003" customHeight="1" thickBot="1">
      <c r="A13" s="25" t="s">
        <v>163</v>
      </c>
      <c r="B13" s="26" t="s">
        <v>17</v>
      </c>
      <c r="C13" s="27"/>
      <c r="D13" s="27"/>
      <c r="E13" s="28"/>
      <c r="F13" s="7"/>
      <c r="H13" s="54" t="s">
        <v>112</v>
      </c>
      <c r="I13" s="8" t="s">
        <v>159</v>
      </c>
    </row>
    <row r="14" spans="1:9" ht="30" customHeight="1">
      <c r="A14" s="6"/>
      <c r="B14" s="7"/>
      <c r="C14" s="4"/>
      <c r="D14" s="4"/>
      <c r="E14"/>
      <c r="F14"/>
    </row>
    <row r="15" spans="1:9" ht="30" customHeight="1" thickBot="1">
      <c r="A15" s="10" t="s">
        <v>5</v>
      </c>
      <c r="B15" s="11"/>
      <c r="C15" s="12"/>
      <c r="D15" s="12"/>
      <c r="E15"/>
      <c r="F15"/>
      <c r="H15" s="458"/>
      <c r="I15" s="458"/>
    </row>
    <row r="16" spans="1:9" ht="36" customHeight="1">
      <c r="A16" s="451" t="s">
        <v>106</v>
      </c>
      <c r="B16" s="453" t="s">
        <v>17</v>
      </c>
      <c r="C16" s="29" t="s">
        <v>146</v>
      </c>
      <c r="D16" s="30" t="s">
        <v>18</v>
      </c>
      <c r="E16" s="31" t="s">
        <v>96</v>
      </c>
      <c r="F16"/>
      <c r="H16" s="458"/>
      <c r="I16" s="458"/>
    </row>
    <row r="17" spans="1:9" ht="36" customHeight="1">
      <c r="A17" s="452"/>
      <c r="B17" s="454"/>
      <c r="C17" s="76">
        <f>IF(E21&gt;D21,E17,D17)</f>
        <v>0</v>
      </c>
      <c r="D17" s="32">
        <f>D12-C12</f>
        <v>0</v>
      </c>
      <c r="E17" s="33">
        <f>IFERROR(E12-C12,0)</f>
        <v>0</v>
      </c>
      <c r="F17"/>
      <c r="H17" s="458"/>
      <c r="I17" s="458"/>
    </row>
    <row r="18" spans="1:9" ht="36" customHeight="1">
      <c r="A18" s="431" t="s">
        <v>107</v>
      </c>
      <c r="B18" s="433" t="s">
        <v>17</v>
      </c>
      <c r="C18" s="34" t="s">
        <v>147</v>
      </c>
      <c r="D18" s="35" t="s">
        <v>102</v>
      </c>
      <c r="E18" s="36" t="s">
        <v>101</v>
      </c>
      <c r="F18"/>
      <c r="H18" s="45"/>
      <c r="I18" s="45"/>
    </row>
    <row r="19" spans="1:9" ht="36" customHeight="1" thickBot="1">
      <c r="A19" s="432"/>
      <c r="B19" s="434"/>
      <c r="C19" s="37">
        <f>IF(E21&gt;D21,E19,D19)</f>
        <v>0</v>
      </c>
      <c r="D19" s="38">
        <f>D13-C13</f>
        <v>0</v>
      </c>
      <c r="E19" s="39">
        <f>IFERROR(E13-C13,0)</f>
        <v>0</v>
      </c>
      <c r="F19"/>
      <c r="H19" s="13"/>
      <c r="I19" s="13"/>
    </row>
    <row r="20" spans="1:9" ht="36" customHeight="1">
      <c r="A20" s="444" t="s">
        <v>108</v>
      </c>
      <c r="B20" s="446" t="s">
        <v>17</v>
      </c>
      <c r="C20" s="29" t="s">
        <v>150</v>
      </c>
      <c r="D20" s="30" t="s">
        <v>148</v>
      </c>
      <c r="E20" s="40" t="s">
        <v>149</v>
      </c>
      <c r="F20"/>
      <c r="H20" s="13"/>
      <c r="I20" s="13"/>
    </row>
    <row r="21" spans="1:9" ht="36" customHeight="1" thickBot="1">
      <c r="A21" s="445"/>
      <c r="B21" s="447"/>
      <c r="C21" s="37">
        <f>IF(E21&gt;D21,E21,D21)</f>
        <v>0</v>
      </c>
      <c r="D21" s="38">
        <f>D17+D19</f>
        <v>0</v>
      </c>
      <c r="E21" s="39">
        <f>IFERROR(E17+E19,0)</f>
        <v>0</v>
      </c>
      <c r="F21"/>
      <c r="H21" s="13"/>
      <c r="I21" s="13"/>
    </row>
    <row r="22" spans="1:9" ht="65.099999999999994" customHeight="1" thickBot="1">
      <c r="A22" s="448" t="s">
        <v>45</v>
      </c>
      <c r="B22" s="449"/>
      <c r="C22" s="56" t="s">
        <v>154</v>
      </c>
      <c r="D22" s="56" t="s">
        <v>155</v>
      </c>
      <c r="E22" s="57" t="s">
        <v>156</v>
      </c>
      <c r="F22"/>
      <c r="H22" s="13"/>
      <c r="I22" s="13"/>
    </row>
    <row r="23" spans="1:9" ht="25.35" customHeight="1">
      <c r="A23" s="6"/>
      <c r="B23" s="7"/>
      <c r="C23"/>
      <c r="D23"/>
      <c r="E23"/>
      <c r="F23"/>
      <c r="H23" s="13"/>
      <c r="I23" s="13"/>
    </row>
    <row r="24" spans="1:9" ht="9.75" customHeight="1">
      <c r="A24" s="6"/>
      <c r="B24" s="7"/>
      <c r="C24"/>
      <c r="D24"/>
      <c r="E24"/>
      <c r="F24"/>
      <c r="H24" s="14"/>
      <c r="I24" s="15"/>
    </row>
    <row r="25" spans="1:9" ht="20.25" customHeight="1">
      <c r="A25" s="1"/>
      <c r="H25" s="14"/>
      <c r="I25" s="15"/>
    </row>
    <row r="26" spans="1:9" ht="19.5" customHeight="1">
      <c r="A26" s="65"/>
      <c r="H26" s="14"/>
      <c r="I26" s="16"/>
    </row>
    <row r="27" spans="1:9" ht="20.100000000000001" customHeight="1">
      <c r="A27" s="44"/>
      <c r="B27" s="44"/>
      <c r="F27" s="44"/>
      <c r="H27" s="14"/>
      <c r="I27" s="15"/>
    </row>
    <row r="28" spans="1:9" ht="20.100000000000001" customHeight="1">
      <c r="A28" s="66"/>
      <c r="B28" s="44"/>
      <c r="C28" s="67"/>
      <c r="D28" s="44"/>
      <c r="E28" s="67"/>
      <c r="F28" s="44"/>
      <c r="H28" s="14"/>
      <c r="I28" s="16"/>
    </row>
    <row r="29" spans="1:9" ht="20.100000000000001" customHeight="1">
      <c r="A29" s="66"/>
      <c r="B29" s="44"/>
      <c r="C29" s="67"/>
      <c r="D29" s="44"/>
      <c r="E29" s="67"/>
      <c r="F29" s="44"/>
      <c r="H29" s="14"/>
      <c r="I29" s="16"/>
    </row>
    <row r="30" spans="1:9" ht="20.100000000000001" customHeight="1">
      <c r="A30" s="66"/>
      <c r="B30" s="44"/>
      <c r="C30" s="67"/>
      <c r="D30" s="44"/>
      <c r="E30" s="67"/>
      <c r="F30" s="44"/>
      <c r="H30" s="14"/>
      <c r="I30" s="16"/>
    </row>
    <row r="31" spans="1:9" ht="19.5" customHeight="1">
      <c r="A31" s="66"/>
      <c r="B31" s="44"/>
      <c r="C31" s="67"/>
      <c r="D31" s="44"/>
      <c r="E31" s="67"/>
      <c r="F31" s="44"/>
      <c r="H31" s="14"/>
      <c r="I31" s="16"/>
    </row>
    <row r="32" spans="1:9" ht="20.100000000000001" customHeight="1">
      <c r="A32" s="66"/>
      <c r="B32" s="44"/>
      <c r="C32" s="67"/>
      <c r="D32" s="44"/>
      <c r="E32" s="67"/>
      <c r="F32" s="44"/>
      <c r="H32" s="14"/>
      <c r="I32" s="16"/>
    </row>
    <row r="33" spans="1:9" ht="20.100000000000001" customHeight="1">
      <c r="A33" s="44"/>
      <c r="B33" s="44"/>
      <c r="C33" s="68"/>
      <c r="D33" s="69"/>
      <c r="E33" s="67"/>
      <c r="F33" s="44"/>
      <c r="H33" s="14"/>
      <c r="I33" s="15"/>
    </row>
    <row r="34" spans="1:9" ht="20.100000000000001" customHeight="1">
      <c r="A34" s="70"/>
      <c r="B34" s="69"/>
      <c r="C34" s="68"/>
      <c r="D34" s="69"/>
      <c r="E34" s="68"/>
      <c r="F34" s="44"/>
      <c r="H34" s="14"/>
      <c r="I34" s="15"/>
    </row>
    <row r="35" spans="1:9" ht="20.100000000000001" customHeight="1">
      <c r="A35" s="70"/>
      <c r="B35" s="69"/>
      <c r="C35" s="68"/>
      <c r="D35" s="69"/>
      <c r="E35" s="67"/>
      <c r="F35" s="44"/>
      <c r="H35" s="14"/>
      <c r="I35" s="15"/>
    </row>
    <row r="36" spans="1:9" ht="20.100000000000001" customHeight="1">
      <c r="A36" s="70"/>
      <c r="B36" s="69"/>
      <c r="C36" s="68"/>
      <c r="D36" s="69"/>
      <c r="E36" s="67"/>
      <c r="F36" s="44"/>
      <c r="H36" s="14"/>
      <c r="I36" s="15"/>
    </row>
    <row r="37" spans="1:9" ht="20.100000000000001" customHeight="1">
      <c r="A37" s="70"/>
      <c r="B37" s="69"/>
      <c r="C37" s="68"/>
      <c r="D37" s="69"/>
      <c r="E37" s="67"/>
      <c r="F37" s="44"/>
      <c r="H37" s="14"/>
      <c r="I37" s="15"/>
    </row>
    <row r="38" spans="1:9" ht="20.100000000000001" customHeight="1">
      <c r="A38" s="70"/>
      <c r="B38" s="69"/>
      <c r="C38" s="68"/>
      <c r="D38" s="69"/>
      <c r="E38" s="67"/>
      <c r="F38" s="44"/>
      <c r="H38" s="14"/>
      <c r="I38" s="16"/>
    </row>
    <row r="39" spans="1:9" ht="20.100000000000001" customHeight="1">
      <c r="A39" s="66"/>
      <c r="C39" s="67"/>
      <c r="D39" s="44"/>
      <c r="E39" s="67"/>
      <c r="H39" s="14"/>
      <c r="I39" s="15"/>
    </row>
    <row r="40" spans="1:9" ht="39" customHeight="1">
      <c r="A40" s="457"/>
      <c r="B40" s="457"/>
      <c r="C40" s="457"/>
      <c r="D40" s="457"/>
      <c r="E40" s="457"/>
      <c r="F40" s="457"/>
      <c r="H40" s="14"/>
      <c r="I40" s="15"/>
    </row>
    <row r="41" spans="1:9" ht="20.100000000000001" customHeight="1">
      <c r="F41" s="44"/>
      <c r="H41" s="14"/>
      <c r="I41" s="15"/>
    </row>
    <row r="42" spans="1:9" ht="20.85" customHeight="1">
      <c r="H42" s="14"/>
      <c r="I42" s="16"/>
    </row>
    <row r="43" spans="1:9" ht="20.85" customHeight="1">
      <c r="A43" s="44"/>
      <c r="H43" s="14"/>
      <c r="I43" s="15"/>
    </row>
    <row r="44" spans="1:9" ht="20.85" customHeight="1">
      <c r="A44" s="43"/>
      <c r="C44" s="67"/>
      <c r="E44" s="46"/>
      <c r="F44" s="46"/>
      <c r="H44" s="14"/>
      <c r="I44" s="16"/>
    </row>
    <row r="45" spans="1:9" ht="20.85" customHeight="1">
      <c r="A45" s="43"/>
      <c r="C45" s="67"/>
      <c r="E45" s="73"/>
      <c r="F45" s="74"/>
      <c r="H45" s="14"/>
      <c r="I45" s="15"/>
    </row>
    <row r="46" spans="1:9" ht="20.85" customHeight="1">
      <c r="A46" s="43"/>
      <c r="C46" s="67"/>
      <c r="E46" s="73"/>
      <c r="F46" s="73"/>
      <c r="H46" s="14"/>
      <c r="I46" s="15"/>
    </row>
    <row r="47" spans="1:9" ht="20.85" customHeight="1">
      <c r="A47" s="43"/>
      <c r="C47" s="67"/>
      <c r="E47" s="73"/>
      <c r="F47" s="73"/>
      <c r="H47" s="14"/>
      <c r="I47" s="15"/>
    </row>
    <row r="48" spans="1:9" ht="20.85" customHeight="1">
      <c r="A48" s="43"/>
      <c r="C48" s="67"/>
      <c r="E48" s="75"/>
      <c r="H48" s="14"/>
      <c r="I48" s="15"/>
    </row>
    <row r="49" spans="1:9" ht="20.85" customHeight="1">
      <c r="A49" s="43"/>
      <c r="C49" s="67"/>
      <c r="H49" s="14"/>
      <c r="I49" s="15"/>
    </row>
    <row r="50" spans="1:9" ht="20.85" customHeight="1">
      <c r="C50" s="67"/>
      <c r="H50" s="14"/>
      <c r="I50" s="15"/>
    </row>
    <row r="51" spans="1:9" ht="20.85" customHeight="1">
      <c r="C51" s="67"/>
      <c r="H51" s="14"/>
      <c r="I51" s="15"/>
    </row>
    <row r="52" spans="1:9" ht="18.75" customHeight="1">
      <c r="H52" s="14"/>
      <c r="I52" s="15"/>
    </row>
    <row r="53" spans="1:9">
      <c r="H53" s="14"/>
      <c r="I53" s="15"/>
    </row>
    <row r="54" spans="1:9">
      <c r="H54" s="14"/>
      <c r="I54" s="16"/>
    </row>
    <row r="55" spans="1:9">
      <c r="H55" s="14"/>
      <c r="I55" s="15"/>
    </row>
    <row r="56" spans="1:9">
      <c r="H56" s="14"/>
      <c r="I56" s="15"/>
    </row>
    <row r="57" spans="1:9">
      <c r="H57" s="14"/>
      <c r="I57" s="15"/>
    </row>
    <row r="58" spans="1:9">
      <c r="H58" s="14"/>
      <c r="I58" s="15"/>
    </row>
    <row r="59" spans="1:9">
      <c r="H59" s="14"/>
      <c r="I59" s="15"/>
    </row>
    <row r="60" spans="1:9">
      <c r="H60" s="14"/>
      <c r="I60" s="15"/>
    </row>
    <row r="61" spans="1:9">
      <c r="H61" s="14"/>
      <c r="I61" s="15"/>
    </row>
    <row r="62" spans="1:9">
      <c r="H62" s="14"/>
      <c r="I62" s="15"/>
    </row>
    <row r="63" spans="1:9">
      <c r="H63" s="14"/>
      <c r="I63" s="16"/>
    </row>
    <row r="64" spans="1:9">
      <c r="H64" s="14"/>
      <c r="I64" s="15"/>
    </row>
    <row r="65" spans="8:9">
      <c r="H65" s="14"/>
      <c r="I65" s="15"/>
    </row>
    <row r="66" spans="8:9">
      <c r="H66" s="14"/>
      <c r="I66" s="15"/>
    </row>
    <row r="67" spans="8:9">
      <c r="H67" s="14"/>
      <c r="I67" s="15"/>
    </row>
    <row r="68" spans="8:9">
      <c r="H68" s="14"/>
      <c r="I68" s="15"/>
    </row>
    <row r="69" spans="8:9">
      <c r="H69" s="14"/>
      <c r="I69" s="15"/>
    </row>
    <row r="70" spans="8:9">
      <c r="H70" s="14"/>
      <c r="I70" s="15"/>
    </row>
    <row r="71" spans="8:9">
      <c r="H71" s="14"/>
      <c r="I71" s="15"/>
    </row>
    <row r="72" spans="8:9">
      <c r="H72" s="14"/>
      <c r="I72" s="16"/>
    </row>
    <row r="73" spans="8:9">
      <c r="H73" s="14"/>
      <c r="I73" s="15"/>
    </row>
    <row r="74" spans="8:9">
      <c r="H74" s="14"/>
      <c r="I74" s="16"/>
    </row>
    <row r="75" spans="8:9">
      <c r="H75" s="14"/>
      <c r="I75" s="15"/>
    </row>
    <row r="76" spans="8:9">
      <c r="H76" s="14"/>
      <c r="I76" s="15"/>
    </row>
    <row r="77" spans="8:9">
      <c r="H77" s="14"/>
      <c r="I77" s="15"/>
    </row>
    <row r="78" spans="8:9">
      <c r="H78" s="14"/>
      <c r="I78" s="16"/>
    </row>
    <row r="79" spans="8:9">
      <c r="H79" s="14"/>
      <c r="I79" s="15"/>
    </row>
    <row r="80" spans="8:9">
      <c r="H80" s="14"/>
      <c r="I80" s="15"/>
    </row>
    <row r="81" spans="8:9">
      <c r="H81" s="17"/>
      <c r="I81" s="15"/>
    </row>
    <row r="82" spans="8:9">
      <c r="H82" s="14"/>
      <c r="I82" s="15"/>
    </row>
    <row r="83" spans="8:9">
      <c r="H83" s="13"/>
      <c r="I83" s="13"/>
    </row>
    <row r="84" spans="8:9">
      <c r="H84" s="13"/>
      <c r="I84" s="18"/>
    </row>
  </sheetData>
  <sheetProtection selectLockedCells="1" selectUnlockedCells="1"/>
  <protectedRanges>
    <protectedRange sqref="C8:C13" name="範囲1"/>
  </protectedRanges>
  <dataConsolidate/>
  <mergeCells count="17">
    <mergeCell ref="A2:E2"/>
    <mergeCell ref="D6:D7"/>
    <mergeCell ref="H15:I17"/>
    <mergeCell ref="H3:H4"/>
    <mergeCell ref="I3:I4"/>
    <mergeCell ref="A16:A17"/>
    <mergeCell ref="B16:B17"/>
    <mergeCell ref="A6:B7"/>
    <mergeCell ref="C6:C7"/>
    <mergeCell ref="E6:E7"/>
    <mergeCell ref="A3:E3"/>
    <mergeCell ref="A20:A21"/>
    <mergeCell ref="B20:B21"/>
    <mergeCell ref="A22:B22"/>
    <mergeCell ref="A40:F40"/>
    <mergeCell ref="A18:A19"/>
    <mergeCell ref="B18:B19"/>
  </mergeCells>
  <phoneticPr fontId="3"/>
  <conditionalFormatting sqref="D8:D11">
    <cfRule type="expression" dxfId="2" priority="6">
      <formula>$D$7="自動計算"</formula>
    </cfRule>
  </conditionalFormatting>
  <dataValidations disablePrompts="1"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BD53-2A5A-4997-B2E1-4C5000BFF66C}">
  <sheetPr>
    <tabColor rgb="FFFFFF00"/>
    <pageSetUpPr fitToPage="1"/>
  </sheetPr>
  <dimension ref="A1:V113"/>
  <sheetViews>
    <sheetView zoomScale="90" zoomScaleNormal="90" zoomScaleSheetLayoutView="85" workbookViewId="0">
      <selection activeCell="B2" sqref="B2:F2"/>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225" hidden="1" customWidth="1"/>
    <col min="16" max="16" width="14.875" style="225" hidden="1" customWidth="1"/>
    <col min="17" max="17" width="8.75" style="225" hidden="1" customWidth="1"/>
    <col min="18" max="18" width="14.5" style="225" hidden="1" customWidth="1"/>
    <col min="19" max="21" width="8.75" style="225" hidden="1" customWidth="1"/>
    <col min="22" max="22" width="14.875" style="225" hidden="1" customWidth="1"/>
  </cols>
  <sheetData>
    <row r="1" spans="1:9" ht="17.25">
      <c r="A1" s="78"/>
      <c r="B1" s="79" t="s">
        <v>301</v>
      </c>
      <c r="C1" s="80"/>
      <c r="D1" s="78"/>
      <c r="E1" s="78"/>
      <c r="F1" s="78"/>
      <c r="G1" s="78"/>
      <c r="H1" s="81" t="s">
        <v>12</v>
      </c>
      <c r="I1" s="78"/>
    </row>
    <row r="2" spans="1:9" ht="14.25">
      <c r="A2" s="78"/>
      <c r="B2" s="450" t="s">
        <v>303</v>
      </c>
      <c r="C2" s="450"/>
      <c r="D2" s="450"/>
      <c r="E2" s="450"/>
      <c r="F2" s="450"/>
      <c r="G2" s="82"/>
      <c r="H2" s="83" t="s">
        <v>13</v>
      </c>
      <c r="I2" s="83" t="s">
        <v>14</v>
      </c>
    </row>
    <row r="3" spans="1:9" ht="42" customHeight="1">
      <c r="A3" s="78"/>
      <c r="B3" s="469" t="s">
        <v>183</v>
      </c>
      <c r="C3" s="470"/>
      <c r="D3" s="470"/>
      <c r="E3" s="470"/>
      <c r="F3" s="470"/>
      <c r="G3" s="84"/>
      <c r="H3" s="471" t="s">
        <v>291</v>
      </c>
      <c r="I3" s="468" t="s">
        <v>290</v>
      </c>
    </row>
    <row r="4" spans="1:9">
      <c r="A4" s="78"/>
      <c r="B4" s="86"/>
      <c r="C4" s="87"/>
      <c r="D4" s="88"/>
      <c r="E4" s="78"/>
      <c r="F4" s="78"/>
      <c r="G4" s="78"/>
      <c r="H4" s="471"/>
      <c r="I4" s="468"/>
    </row>
    <row r="5" spans="1:9" ht="54.95" customHeight="1">
      <c r="A5" s="78"/>
      <c r="B5" s="86"/>
      <c r="C5" s="87"/>
      <c r="D5" s="88"/>
      <c r="E5" s="81" t="s">
        <v>91</v>
      </c>
      <c r="F5" s="89" t="s">
        <v>184</v>
      </c>
      <c r="G5" s="78"/>
      <c r="H5" s="466" t="s">
        <v>111</v>
      </c>
      <c r="I5" s="468" t="s">
        <v>185</v>
      </c>
    </row>
    <row r="6" spans="1:9" ht="14.25" thickBot="1">
      <c r="A6" s="78"/>
      <c r="B6" s="86"/>
      <c r="C6" s="87"/>
      <c r="D6" s="88"/>
      <c r="E6" s="472" t="s">
        <v>140</v>
      </c>
      <c r="F6" s="472"/>
      <c r="G6" s="91"/>
      <c r="H6" s="466"/>
      <c r="I6" s="468"/>
    </row>
    <row r="7" spans="1:9" ht="45">
      <c r="A7" s="78"/>
      <c r="B7" s="473"/>
      <c r="C7" s="474"/>
      <c r="D7" s="477" t="s">
        <v>135</v>
      </c>
      <c r="E7" s="92" t="s">
        <v>144</v>
      </c>
      <c r="F7" s="479" t="s">
        <v>145</v>
      </c>
      <c r="G7" s="93"/>
      <c r="H7" s="94" t="s">
        <v>109</v>
      </c>
      <c r="I7" s="95" t="s">
        <v>169</v>
      </c>
    </row>
    <row r="8" spans="1:9" ht="57" thickBot="1">
      <c r="A8" s="78"/>
      <c r="B8" s="475"/>
      <c r="C8" s="476"/>
      <c r="D8" s="478"/>
      <c r="E8" s="96" t="s">
        <v>172</v>
      </c>
      <c r="F8" s="480"/>
      <c r="G8" s="97"/>
      <c r="H8" s="98" t="s">
        <v>176</v>
      </c>
      <c r="I8" s="95" t="s">
        <v>288</v>
      </c>
    </row>
    <row r="9" spans="1:9" ht="27.95" customHeight="1">
      <c r="A9" s="78"/>
      <c r="B9" s="99" t="s">
        <v>186</v>
      </c>
      <c r="C9" s="100"/>
      <c r="D9" s="101"/>
      <c r="E9" s="102" t="str">
        <f>IF(E8="自動計算","-","")</f>
        <v>-</v>
      </c>
      <c r="F9" s="103"/>
      <c r="G9" s="97"/>
      <c r="H9" s="94" t="s">
        <v>186</v>
      </c>
      <c r="I9" s="95" t="s">
        <v>187</v>
      </c>
    </row>
    <row r="10" spans="1:9" ht="27.95" customHeight="1">
      <c r="A10" s="78"/>
      <c r="B10" s="104" t="s">
        <v>292</v>
      </c>
      <c r="C10" s="105"/>
      <c r="D10" s="106"/>
      <c r="E10" s="107">
        <f>IF($E$8="自動計算",D10,"")</f>
        <v>0</v>
      </c>
      <c r="F10" s="108"/>
      <c r="G10" s="97"/>
      <c r="H10" s="98" t="s">
        <v>81</v>
      </c>
      <c r="I10" s="95" t="s">
        <v>188</v>
      </c>
    </row>
    <row r="11" spans="1:9" ht="27.95" customHeight="1">
      <c r="A11" s="78"/>
      <c r="B11" s="109" t="s">
        <v>136</v>
      </c>
      <c r="C11" s="110" t="s">
        <v>24</v>
      </c>
      <c r="D11" s="111"/>
      <c r="E11" s="112">
        <f>IF($E$8="自動計算",D11,"")</f>
        <v>0</v>
      </c>
      <c r="F11" s="113"/>
      <c r="G11" s="87"/>
      <c r="H11" s="114" t="s">
        <v>0</v>
      </c>
      <c r="I11" s="95" t="s">
        <v>300</v>
      </c>
    </row>
    <row r="12" spans="1:9" ht="27.95" customHeight="1">
      <c r="A12" s="78"/>
      <c r="B12" s="115" t="s">
        <v>1</v>
      </c>
      <c r="C12" s="110" t="s">
        <v>25</v>
      </c>
      <c r="D12" s="116"/>
      <c r="E12" s="117">
        <f>IF($E$8="自動計算",D12,"")</f>
        <v>0</v>
      </c>
      <c r="F12" s="113"/>
      <c r="G12" s="87"/>
      <c r="H12" s="114" t="s">
        <v>1</v>
      </c>
      <c r="I12" s="95" t="s">
        <v>170</v>
      </c>
    </row>
    <row r="13" spans="1:9" ht="27.95" customHeight="1">
      <c r="A13" s="78"/>
      <c r="B13" s="115" t="s">
        <v>52</v>
      </c>
      <c r="C13" s="118"/>
      <c r="D13" s="119"/>
      <c r="E13" s="112">
        <f>IF($E$8="自動計算",D13,"")</f>
        <v>0</v>
      </c>
      <c r="F13" s="113"/>
      <c r="G13" s="120"/>
      <c r="H13" s="114" t="s">
        <v>177</v>
      </c>
      <c r="I13" s="95" t="s">
        <v>142</v>
      </c>
    </row>
    <row r="14" spans="1:9" ht="39" customHeight="1">
      <c r="A14" s="78"/>
      <c r="B14" s="115" t="s">
        <v>2</v>
      </c>
      <c r="C14" s="110"/>
      <c r="D14" s="121"/>
      <c r="E14" s="119" t="s">
        <v>82</v>
      </c>
      <c r="F14" s="113"/>
      <c r="G14" s="87"/>
      <c r="H14" s="114" t="s">
        <v>178</v>
      </c>
      <c r="I14" s="95" t="s">
        <v>175</v>
      </c>
    </row>
    <row r="15" spans="1:9" ht="27.95" customHeight="1">
      <c r="A15" s="78"/>
      <c r="B15" s="109" t="s">
        <v>130</v>
      </c>
      <c r="C15" s="110" t="s">
        <v>25</v>
      </c>
      <c r="D15" s="121"/>
      <c r="E15" s="117">
        <f>IF($E$8="自動計算",D15,"")</f>
        <v>0</v>
      </c>
      <c r="F15" s="113"/>
      <c r="G15" s="87"/>
      <c r="H15" s="114" t="s">
        <v>179</v>
      </c>
      <c r="I15" s="95" t="s">
        <v>132</v>
      </c>
    </row>
    <row r="16" spans="1:9" ht="27.95" customHeight="1">
      <c r="A16" s="78"/>
      <c r="B16" s="109" t="s">
        <v>119</v>
      </c>
      <c r="C16" s="110" t="s">
        <v>25</v>
      </c>
      <c r="D16" s="122"/>
      <c r="E16" s="117">
        <f>IF($E$8="自動計算",D16,"")</f>
        <v>0</v>
      </c>
      <c r="F16" s="113"/>
      <c r="G16" s="87"/>
      <c r="H16" s="114" t="s">
        <v>119</v>
      </c>
      <c r="I16" s="95" t="s">
        <v>99</v>
      </c>
    </row>
    <row r="17" spans="1:9" ht="35.1" customHeight="1">
      <c r="A17" s="78"/>
      <c r="B17" s="109" t="s">
        <v>165</v>
      </c>
      <c r="C17" s="110" t="s">
        <v>24</v>
      </c>
      <c r="D17" s="111"/>
      <c r="E17" s="112">
        <f>IF($E$8="自動計算",D17,"")</f>
        <v>0</v>
      </c>
      <c r="F17" s="113"/>
      <c r="G17" s="87"/>
      <c r="H17" s="90" t="s">
        <v>137</v>
      </c>
      <c r="I17" s="95" t="s">
        <v>293</v>
      </c>
    </row>
    <row r="18" spans="1:9" ht="35.1" customHeight="1">
      <c r="A18" s="78"/>
      <c r="B18" s="109" t="s">
        <v>166</v>
      </c>
      <c r="C18" s="110" t="s">
        <v>24</v>
      </c>
      <c r="D18" s="111"/>
      <c r="E18" s="112" t="str">
        <f>IFERROR(IF($E$8="自動計算",U91,""),"")</f>
        <v/>
      </c>
      <c r="F18" s="123"/>
      <c r="G18" s="87"/>
      <c r="H18" s="90" t="s">
        <v>138</v>
      </c>
      <c r="I18" s="95" t="s">
        <v>94</v>
      </c>
    </row>
    <row r="19" spans="1:9" ht="35.1" customHeight="1">
      <c r="A19" s="78"/>
      <c r="B19" s="109" t="s">
        <v>167</v>
      </c>
      <c r="C19" s="110" t="s">
        <v>23</v>
      </c>
      <c r="D19" s="124"/>
      <c r="E19" s="125">
        <f>IFERROR(IF($E$8="自動計算",D19,""),"")</f>
        <v>0</v>
      </c>
      <c r="F19" s="126"/>
      <c r="G19" s="127"/>
      <c r="H19" s="90" t="s">
        <v>139</v>
      </c>
      <c r="I19" s="85" t="s">
        <v>189</v>
      </c>
    </row>
    <row r="20" spans="1:9" ht="27.95" customHeight="1">
      <c r="A20" s="78"/>
      <c r="B20" s="109" t="s">
        <v>173</v>
      </c>
      <c r="C20" s="110" t="s">
        <v>20</v>
      </c>
      <c r="D20" s="128"/>
      <c r="E20" s="129"/>
      <c r="F20" s="130"/>
      <c r="G20" s="127"/>
      <c r="H20" s="467" t="s">
        <v>173</v>
      </c>
      <c r="I20" s="468" t="s">
        <v>289</v>
      </c>
    </row>
    <row r="21" spans="1:9" ht="39.6" customHeight="1">
      <c r="A21" s="78"/>
      <c r="B21" s="131" t="s">
        <v>297</v>
      </c>
      <c r="C21" s="110" t="s">
        <v>22</v>
      </c>
      <c r="D21" s="132">
        <f>ROUND(D18*D19*D20,0)</f>
        <v>0</v>
      </c>
      <c r="E21" s="133" t="str">
        <f>IFERROR(ROUND(E18*E19*E20,0),"")</f>
        <v/>
      </c>
      <c r="F21" s="134">
        <f>IFERROR(ROUND(F18*F19*F20,0),"")</f>
        <v>0</v>
      </c>
      <c r="G21" s="135"/>
      <c r="H21" s="467"/>
      <c r="I21" s="468"/>
    </row>
    <row r="22" spans="1:9" ht="27.95" customHeight="1">
      <c r="A22" s="78"/>
      <c r="B22" s="109" t="s">
        <v>298</v>
      </c>
      <c r="C22" s="110" t="s">
        <v>22</v>
      </c>
      <c r="D22" s="136"/>
      <c r="E22" s="112">
        <f>IF($E$8="自動計算",D22,"")</f>
        <v>0</v>
      </c>
      <c r="F22" s="137"/>
      <c r="G22" s="135"/>
      <c r="H22" s="90" t="s">
        <v>294</v>
      </c>
      <c r="I22" s="85" t="s">
        <v>287</v>
      </c>
    </row>
    <row r="23" spans="1:9" ht="38.450000000000003" customHeight="1">
      <c r="A23" s="78"/>
      <c r="B23" s="131" t="s">
        <v>168</v>
      </c>
      <c r="C23" s="110" t="s">
        <v>22</v>
      </c>
      <c r="D23" s="132">
        <f>IFERROR((D21+D22)*D10,"")</f>
        <v>0</v>
      </c>
      <c r="E23" s="133" t="str">
        <f>IFERROR((E21+E22)*E10,"")</f>
        <v/>
      </c>
      <c r="F23" s="134">
        <f>IFERROR((F21+F22)*F10,"")</f>
        <v>0</v>
      </c>
      <c r="G23" s="135"/>
      <c r="H23" s="90" t="s">
        <v>295</v>
      </c>
      <c r="I23" s="85" t="s">
        <v>286</v>
      </c>
    </row>
    <row r="24" spans="1:9" ht="27.95" customHeight="1">
      <c r="A24" s="78"/>
      <c r="B24" s="138" t="s">
        <v>41</v>
      </c>
      <c r="C24" s="139" t="s">
        <v>21</v>
      </c>
      <c r="D24" s="140">
        <v>0.441</v>
      </c>
      <c r="E24" s="141">
        <v>0.441</v>
      </c>
      <c r="F24" s="142">
        <v>0.441</v>
      </c>
      <c r="G24" s="127"/>
      <c r="H24" s="143" t="s">
        <v>120</v>
      </c>
      <c r="I24" s="85" t="s">
        <v>83</v>
      </c>
    </row>
    <row r="25" spans="1:9" ht="27.95" customHeight="1">
      <c r="A25" s="78"/>
      <c r="B25" s="144" t="s">
        <v>43</v>
      </c>
      <c r="C25" s="145" t="s">
        <v>19</v>
      </c>
      <c r="D25" s="146">
        <f>ROUND(D23*D24/1000,1)</f>
        <v>0</v>
      </c>
      <c r="E25" s="147" t="str">
        <f>IFERROR(ROUND(E23*E24/1000,1),"")</f>
        <v/>
      </c>
      <c r="F25" s="148">
        <f>IFERROR(ROUND(F23*F24/1000,1),"")</f>
        <v>0</v>
      </c>
      <c r="G25" s="149"/>
      <c r="H25" s="114" t="s">
        <v>84</v>
      </c>
      <c r="I25" s="85" t="s">
        <v>97</v>
      </c>
    </row>
    <row r="26" spans="1:9" ht="27.95" customHeight="1">
      <c r="A26" s="78"/>
      <c r="B26" s="115" t="s">
        <v>299</v>
      </c>
      <c r="C26" s="110" t="s">
        <v>78</v>
      </c>
      <c r="D26" s="124"/>
      <c r="E26" s="150" t="str">
        <f>IFERROR(IF($E$8="自動計算",V91,""),"")</f>
        <v/>
      </c>
      <c r="F26" s="126"/>
      <c r="G26" s="151"/>
      <c r="H26" s="90" t="s">
        <v>121</v>
      </c>
      <c r="I26" s="85" t="s">
        <v>85</v>
      </c>
    </row>
    <row r="27" spans="1:9" ht="27.95" customHeight="1">
      <c r="A27" s="78"/>
      <c r="B27" s="115" t="s">
        <v>117</v>
      </c>
      <c r="C27" s="110" t="s">
        <v>78</v>
      </c>
      <c r="D27" s="152">
        <f>IFERROR(ROUND(D26*D10,1),"")</f>
        <v>0</v>
      </c>
      <c r="E27" s="153" t="str">
        <f>IFERROR(ROUND(E26*E10,1),"")</f>
        <v/>
      </c>
      <c r="F27" s="134">
        <f>IFERROR(ROUND(F26*F10,1),"")</f>
        <v>0</v>
      </c>
      <c r="G27" s="127"/>
      <c r="H27" s="466" t="s">
        <v>296</v>
      </c>
      <c r="I27" s="468" t="s">
        <v>171</v>
      </c>
    </row>
    <row r="28" spans="1:9" ht="27.95" customHeight="1">
      <c r="A28" s="78"/>
      <c r="B28" s="115" t="s">
        <v>86</v>
      </c>
      <c r="C28" s="110" t="s">
        <v>20</v>
      </c>
      <c r="D28" s="154"/>
      <c r="E28" s="155">
        <f>IF($E$8="自動計算",D28,"")</f>
        <v>0</v>
      </c>
      <c r="F28" s="156"/>
      <c r="G28" s="127"/>
      <c r="H28" s="467"/>
      <c r="I28" s="468"/>
    </row>
    <row r="29" spans="1:9" ht="27.95" customHeight="1">
      <c r="A29" s="78"/>
      <c r="B29" s="115" t="s">
        <v>87</v>
      </c>
      <c r="C29" s="110"/>
      <c r="D29" s="153" t="str">
        <f>IFERROR(VLOOKUP(D14,B46:C57,2,FALSE),"")</f>
        <v/>
      </c>
      <c r="E29" s="157">
        <f>IFERROR(VLOOKUP(E14,D46:E57,2,FALSE),"")</f>
        <v>1904</v>
      </c>
      <c r="F29" s="158"/>
      <c r="G29" s="127"/>
      <c r="H29" s="114" t="s">
        <v>79</v>
      </c>
      <c r="I29" s="85" t="s">
        <v>122</v>
      </c>
    </row>
    <row r="30" spans="1:9" ht="38.450000000000003" customHeight="1" thickBot="1">
      <c r="A30" s="78"/>
      <c r="B30" s="159" t="s">
        <v>118</v>
      </c>
      <c r="C30" s="160" t="s">
        <v>17</v>
      </c>
      <c r="D30" s="161" t="str">
        <f>IFERROR(ROUND(D27*D28*D29/1000,1),"")</f>
        <v/>
      </c>
      <c r="E30" s="162" t="str">
        <f>IFERROR(ROUND(E27*E28*E29/1000,1),"")</f>
        <v/>
      </c>
      <c r="F30" s="163">
        <f>IFERROR(ROUND(F26*F28*F29/1000,1),"")</f>
        <v>0</v>
      </c>
      <c r="G30" s="164"/>
      <c r="H30" s="114" t="s">
        <v>86</v>
      </c>
      <c r="I30" s="85" t="s">
        <v>98</v>
      </c>
    </row>
    <row r="31" spans="1:9" ht="26.45" customHeight="1">
      <c r="A31" s="78"/>
      <c r="B31" s="86"/>
      <c r="C31" s="87"/>
      <c r="D31" s="165"/>
      <c r="E31" s="165"/>
      <c r="F31" s="88"/>
      <c r="G31" s="127"/>
      <c r="H31" s="114" t="s">
        <v>87</v>
      </c>
      <c r="I31" s="85" t="s">
        <v>16</v>
      </c>
    </row>
    <row r="32" spans="1:9" ht="27.75" thickBot="1">
      <c r="A32" s="78"/>
      <c r="B32" s="166" t="s">
        <v>5</v>
      </c>
      <c r="C32" s="87"/>
      <c r="D32" s="88"/>
      <c r="E32" s="88"/>
      <c r="F32" s="88"/>
      <c r="G32" s="87"/>
      <c r="H32" s="90" t="s">
        <v>118</v>
      </c>
      <c r="I32" s="85" t="s">
        <v>42</v>
      </c>
    </row>
    <row r="33" spans="1:9" ht="24">
      <c r="A33" s="78"/>
      <c r="B33" s="481" t="s">
        <v>131</v>
      </c>
      <c r="C33" s="483" t="s">
        <v>17</v>
      </c>
      <c r="D33" s="167" t="s">
        <v>146</v>
      </c>
      <c r="E33" s="168" t="s">
        <v>18</v>
      </c>
      <c r="F33" s="169" t="s">
        <v>96</v>
      </c>
      <c r="G33" s="88"/>
      <c r="H33" s="485" t="s">
        <v>88</v>
      </c>
      <c r="I33" s="487" t="s">
        <v>151</v>
      </c>
    </row>
    <row r="34" spans="1:9" ht="27" customHeight="1">
      <c r="A34" s="78"/>
      <c r="B34" s="482"/>
      <c r="C34" s="484"/>
      <c r="D34" s="170">
        <f>IF(F38&gt;E38,F34,E34)</f>
        <v>0</v>
      </c>
      <c r="E34" s="171">
        <f>IFERROR(E25-D25,0)</f>
        <v>0</v>
      </c>
      <c r="F34" s="172">
        <f>IFERROR(F25-D25,0)</f>
        <v>0</v>
      </c>
      <c r="G34" s="88"/>
      <c r="H34" s="486"/>
      <c r="I34" s="488"/>
    </row>
    <row r="35" spans="1:9" ht="24">
      <c r="A35" s="78"/>
      <c r="B35" s="489" t="s">
        <v>133</v>
      </c>
      <c r="C35" s="491" t="s">
        <v>17</v>
      </c>
      <c r="D35" s="173" t="s">
        <v>147</v>
      </c>
      <c r="E35" s="174" t="s">
        <v>102</v>
      </c>
      <c r="F35" s="175" t="s">
        <v>101</v>
      </c>
      <c r="G35" s="88"/>
      <c r="H35" s="466" t="s">
        <v>134</v>
      </c>
      <c r="I35" s="487" t="s">
        <v>152</v>
      </c>
    </row>
    <row r="36" spans="1:9" ht="27" customHeight="1" thickBot="1">
      <c r="A36" s="78"/>
      <c r="B36" s="490"/>
      <c r="C36" s="492"/>
      <c r="D36" s="176">
        <f>IF(F38&gt;E38,F36,E36)</f>
        <v>0</v>
      </c>
      <c r="E36" s="177">
        <f>IFERROR(E30-D30,0)</f>
        <v>0</v>
      </c>
      <c r="F36" s="178">
        <f>IFERROR(F30-D30,0)</f>
        <v>0</v>
      </c>
      <c r="G36" s="88"/>
      <c r="H36" s="466"/>
      <c r="I36" s="487"/>
    </row>
    <row r="37" spans="1:9" ht="24">
      <c r="A37" s="78"/>
      <c r="B37" s="495" t="s">
        <v>89</v>
      </c>
      <c r="C37" s="497" t="s">
        <v>17</v>
      </c>
      <c r="D37" s="167" t="s">
        <v>150</v>
      </c>
      <c r="E37" s="168" t="s">
        <v>148</v>
      </c>
      <c r="F37" s="179" t="s">
        <v>149</v>
      </c>
      <c r="G37" s="88"/>
      <c r="H37" s="466" t="s">
        <v>44</v>
      </c>
      <c r="I37" s="487" t="s">
        <v>153</v>
      </c>
    </row>
    <row r="38" spans="1:9" ht="27" customHeight="1" thickBot="1">
      <c r="A38" s="78"/>
      <c r="B38" s="496"/>
      <c r="C38" s="498"/>
      <c r="D38" s="176">
        <f>IF(F38&gt;E38,F38,E38)</f>
        <v>0</v>
      </c>
      <c r="E38" s="177">
        <f>E34+E36</f>
        <v>0</v>
      </c>
      <c r="F38" s="178">
        <f>IFERROR(F34+F36,0)</f>
        <v>0</v>
      </c>
      <c r="G38" s="88"/>
      <c r="H38" s="466"/>
      <c r="I38" s="487"/>
    </row>
    <row r="39" spans="1:9" ht="57" thickBot="1">
      <c r="A39" s="78"/>
      <c r="B39" s="499" t="s">
        <v>45</v>
      </c>
      <c r="C39" s="500"/>
      <c r="D39" s="180" t="s">
        <v>154</v>
      </c>
      <c r="E39" s="180" t="s">
        <v>155</v>
      </c>
      <c r="F39" s="181" t="s">
        <v>156</v>
      </c>
      <c r="G39" s="88"/>
      <c r="H39" s="501" t="s">
        <v>180</v>
      </c>
      <c r="I39" s="501"/>
    </row>
    <row r="40" spans="1:9" ht="14.25">
      <c r="A40" s="78"/>
      <c r="B40" s="182"/>
      <c r="C40" s="87"/>
      <c r="D40" s="88"/>
      <c r="E40" s="88"/>
      <c r="F40" s="88"/>
      <c r="G40" s="88"/>
      <c r="H40" s="493"/>
      <c r="I40" s="493"/>
    </row>
    <row r="41" spans="1:9">
      <c r="A41" s="78"/>
      <c r="B41" s="86"/>
      <c r="C41" s="87"/>
      <c r="D41" s="88"/>
      <c r="E41" s="88"/>
      <c r="F41" s="88"/>
      <c r="G41" s="88"/>
      <c r="H41" s="183"/>
      <c r="I41" s="183"/>
    </row>
    <row r="42" spans="1:9">
      <c r="A42" s="78"/>
      <c r="B42" s="86"/>
      <c r="C42" s="87"/>
      <c r="D42" s="88"/>
      <c r="E42" s="88"/>
      <c r="F42" s="88"/>
      <c r="G42" s="88"/>
      <c r="H42" s="183"/>
      <c r="I42" s="183"/>
    </row>
    <row r="43" spans="1:9" ht="17.25">
      <c r="A43" s="78"/>
      <c r="B43" s="184" t="s">
        <v>6</v>
      </c>
      <c r="C43" s="80"/>
      <c r="D43" s="78"/>
      <c r="E43" s="78"/>
      <c r="F43" s="78"/>
      <c r="G43" s="78"/>
      <c r="H43" s="78"/>
      <c r="I43" s="78"/>
    </row>
    <row r="44" spans="1:9" ht="17.25">
      <c r="A44" s="78"/>
      <c r="B44" s="185" t="s">
        <v>7</v>
      </c>
      <c r="C44" s="186"/>
      <c r="D44" s="187"/>
      <c r="E44" s="187"/>
      <c r="F44" s="187"/>
      <c r="G44" s="187"/>
      <c r="H44" s="78"/>
      <c r="I44" s="78"/>
    </row>
    <row r="45" spans="1:9">
      <c r="A45" s="78"/>
      <c r="B45" s="188" t="s">
        <v>8</v>
      </c>
      <c r="C45" s="189" t="s">
        <v>33</v>
      </c>
      <c r="D45" s="190" t="s">
        <v>9</v>
      </c>
      <c r="E45" s="191" t="s">
        <v>33</v>
      </c>
      <c r="F45" s="190" t="s">
        <v>10</v>
      </c>
      <c r="G45" s="192" t="s">
        <v>33</v>
      </c>
      <c r="H45" s="78"/>
      <c r="I45" s="78"/>
    </row>
    <row r="46" spans="1:9">
      <c r="A46" s="78"/>
      <c r="B46" s="193" t="s">
        <v>34</v>
      </c>
      <c r="C46" s="194">
        <v>0</v>
      </c>
      <c r="D46" s="195" t="s">
        <v>82</v>
      </c>
      <c r="E46" s="196">
        <v>1904</v>
      </c>
      <c r="F46" s="197" t="s">
        <v>34</v>
      </c>
      <c r="G46" s="198">
        <v>0</v>
      </c>
      <c r="H46" s="78"/>
      <c r="I46" s="78"/>
    </row>
    <row r="47" spans="1:9">
      <c r="A47" s="78"/>
      <c r="B47" s="193" t="s">
        <v>36</v>
      </c>
      <c r="C47" s="194">
        <v>1</v>
      </c>
      <c r="D47" s="199" t="s">
        <v>48</v>
      </c>
      <c r="E47" s="196">
        <v>1273</v>
      </c>
      <c r="F47" s="197" t="s">
        <v>38</v>
      </c>
      <c r="G47" s="198">
        <v>4660</v>
      </c>
      <c r="H47" s="78"/>
      <c r="I47" s="78"/>
    </row>
    <row r="48" spans="1:9">
      <c r="A48" s="78"/>
      <c r="B48" s="200" t="s">
        <v>123</v>
      </c>
      <c r="C48" s="194">
        <v>1</v>
      </c>
      <c r="D48" s="199" t="s">
        <v>49</v>
      </c>
      <c r="E48" s="196">
        <v>1282</v>
      </c>
      <c r="F48" s="197" t="s">
        <v>40</v>
      </c>
      <c r="G48" s="198">
        <v>10200</v>
      </c>
      <c r="H48" s="78"/>
      <c r="I48" s="78"/>
    </row>
    <row r="49" spans="1:9">
      <c r="A49" s="78"/>
      <c r="B49" s="193" t="s">
        <v>11</v>
      </c>
      <c r="C49" s="194">
        <v>0</v>
      </c>
      <c r="D49" s="199" t="s">
        <v>50</v>
      </c>
      <c r="E49" s="196">
        <v>1367</v>
      </c>
      <c r="F49" s="197" t="s">
        <v>27</v>
      </c>
      <c r="G49" s="198">
        <v>4660</v>
      </c>
      <c r="H49" s="78"/>
      <c r="I49" s="78"/>
    </row>
    <row r="50" spans="1:9">
      <c r="A50" s="78"/>
      <c r="B50" s="193" t="s">
        <v>28</v>
      </c>
      <c r="C50" s="194">
        <v>3</v>
      </c>
      <c r="D50" s="199" t="s">
        <v>47</v>
      </c>
      <c r="E50" s="196">
        <v>1378</v>
      </c>
      <c r="F50" s="197" t="s">
        <v>29</v>
      </c>
      <c r="G50" s="198">
        <v>1760</v>
      </c>
      <c r="H50" s="201"/>
      <c r="I50" s="202"/>
    </row>
    <row r="51" spans="1:9">
      <c r="A51" s="78"/>
      <c r="B51" s="203" t="s">
        <v>15</v>
      </c>
      <c r="C51" s="194">
        <v>0</v>
      </c>
      <c r="D51" s="204" t="s">
        <v>124</v>
      </c>
      <c r="E51" s="205">
        <v>3943</v>
      </c>
      <c r="F51" s="197" t="s">
        <v>30</v>
      </c>
      <c r="G51" s="198">
        <v>12400</v>
      </c>
      <c r="H51" s="201"/>
      <c r="I51" s="206"/>
    </row>
    <row r="52" spans="1:9">
      <c r="A52" s="78"/>
      <c r="B52" s="207" t="s">
        <v>46</v>
      </c>
      <c r="C52" s="208">
        <v>3</v>
      </c>
      <c r="D52" s="204" t="s">
        <v>125</v>
      </c>
      <c r="E52" s="205">
        <v>1624</v>
      </c>
      <c r="F52" s="209" t="s">
        <v>31</v>
      </c>
      <c r="G52" s="198">
        <v>12400</v>
      </c>
      <c r="H52" s="201"/>
      <c r="I52" s="202"/>
    </row>
    <row r="53" spans="1:9">
      <c r="A53" s="78"/>
      <c r="B53" s="210"/>
      <c r="C53" s="211"/>
      <c r="D53" s="204" t="s">
        <v>126</v>
      </c>
      <c r="E53" s="205">
        <v>1924</v>
      </c>
      <c r="F53" s="197" t="s">
        <v>35</v>
      </c>
      <c r="G53" s="198">
        <v>3943</v>
      </c>
      <c r="H53" s="201"/>
      <c r="I53" s="202"/>
    </row>
    <row r="54" spans="1:9">
      <c r="A54" s="78"/>
      <c r="B54" s="210"/>
      <c r="C54" s="211"/>
      <c r="D54" s="204" t="s">
        <v>127</v>
      </c>
      <c r="E54" s="205">
        <v>1300</v>
      </c>
      <c r="F54" s="197" t="s">
        <v>37</v>
      </c>
      <c r="G54" s="198">
        <v>1624</v>
      </c>
      <c r="H54" s="201"/>
      <c r="I54" s="202"/>
    </row>
    <row r="55" spans="1:9">
      <c r="A55" s="78"/>
      <c r="B55" s="210"/>
      <c r="C55" s="211"/>
      <c r="D55" s="204" t="s">
        <v>128</v>
      </c>
      <c r="E55" s="205">
        <v>12400</v>
      </c>
      <c r="F55" s="197" t="s">
        <v>39</v>
      </c>
      <c r="G55" s="198">
        <v>1924</v>
      </c>
      <c r="H55" s="201"/>
      <c r="I55" s="202"/>
    </row>
    <row r="56" spans="1:9">
      <c r="A56" s="78"/>
      <c r="B56" s="210"/>
      <c r="C56" s="211"/>
      <c r="D56" s="204" t="s">
        <v>129</v>
      </c>
      <c r="E56" s="205">
        <v>12400</v>
      </c>
      <c r="F56" s="197" t="s">
        <v>80</v>
      </c>
      <c r="G56" s="198">
        <v>1300</v>
      </c>
      <c r="H56" s="201"/>
      <c r="I56" s="202"/>
    </row>
    <row r="57" spans="1:9">
      <c r="A57" s="78"/>
      <c r="B57" s="212" t="s">
        <v>3</v>
      </c>
      <c r="C57" s="213"/>
      <c r="D57" s="209"/>
      <c r="E57" s="214"/>
      <c r="F57" s="215" t="s">
        <v>3</v>
      </c>
      <c r="G57" s="216"/>
      <c r="H57" s="201"/>
      <c r="I57" s="206"/>
    </row>
    <row r="58" spans="1:9">
      <c r="A58" s="78"/>
      <c r="B58" s="494" t="s">
        <v>32</v>
      </c>
      <c r="C58" s="494"/>
      <c r="D58" s="494"/>
      <c r="E58" s="494"/>
      <c r="F58" s="494"/>
      <c r="G58" s="494"/>
      <c r="H58" s="201"/>
      <c r="I58" s="206"/>
    </row>
    <row r="59" spans="1:9">
      <c r="A59" s="78"/>
      <c r="B59" s="79"/>
      <c r="C59" s="80"/>
      <c r="D59" s="78"/>
      <c r="E59" s="78"/>
      <c r="F59" s="78"/>
      <c r="G59" s="217"/>
      <c r="H59" s="201"/>
      <c r="I59" s="206"/>
    </row>
    <row r="60" spans="1:9">
      <c r="A60" s="78"/>
      <c r="B60" s="79"/>
      <c r="C60" s="80"/>
      <c r="D60" s="78"/>
      <c r="E60" s="78"/>
      <c r="F60" s="78"/>
      <c r="G60" s="78"/>
      <c r="H60" s="201"/>
      <c r="I60" s="206"/>
    </row>
    <row r="61" spans="1:9">
      <c r="A61" s="78"/>
      <c r="B61" s="217"/>
      <c r="C61" s="80"/>
      <c r="D61" s="78"/>
      <c r="E61" s="78"/>
      <c r="F61" s="78"/>
      <c r="G61" s="78"/>
      <c r="H61" s="201"/>
      <c r="I61" s="206"/>
    </row>
    <row r="62" spans="1:9">
      <c r="A62" s="78"/>
      <c r="B62" s="78"/>
      <c r="C62" s="78"/>
      <c r="D62" s="218" t="s">
        <v>53</v>
      </c>
      <c r="E62" s="218" t="s">
        <v>54</v>
      </c>
      <c r="F62" s="78"/>
      <c r="G62" s="78"/>
      <c r="H62" s="201"/>
      <c r="I62" s="202"/>
    </row>
    <row r="63" spans="1:9">
      <c r="A63" s="78"/>
      <c r="B63" s="78"/>
      <c r="C63" s="78"/>
      <c r="D63" s="219">
        <v>40</v>
      </c>
      <c r="E63" s="220" t="s">
        <v>55</v>
      </c>
      <c r="F63" s="78"/>
      <c r="G63" s="78"/>
      <c r="H63" s="201"/>
      <c r="I63" s="206"/>
    </row>
    <row r="64" spans="1:9">
      <c r="A64" s="78"/>
      <c r="B64" s="78"/>
      <c r="C64" s="78"/>
      <c r="D64" s="221">
        <v>32</v>
      </c>
      <c r="E64" s="221" t="s">
        <v>56</v>
      </c>
      <c r="F64" s="78"/>
      <c r="G64" s="78"/>
      <c r="H64" s="201"/>
      <c r="I64" s="206"/>
    </row>
    <row r="65" spans="1:9">
      <c r="A65" s="78"/>
      <c r="B65" s="78"/>
      <c r="C65" s="78"/>
      <c r="D65" s="221"/>
      <c r="E65" s="221" t="s">
        <v>57</v>
      </c>
      <c r="F65" s="78"/>
      <c r="G65" s="78"/>
      <c r="H65" s="201"/>
      <c r="I65" s="206"/>
    </row>
    <row r="66" spans="1:9">
      <c r="A66" s="78"/>
      <c r="B66" s="78"/>
      <c r="C66" s="78"/>
      <c r="D66" s="222"/>
      <c r="E66" s="223"/>
      <c r="F66" s="78"/>
      <c r="G66" s="78"/>
      <c r="H66" s="201"/>
      <c r="I66" s="202"/>
    </row>
    <row r="88" spans="13:22">
      <c r="M88" s="224" t="s">
        <v>58</v>
      </c>
      <c r="N88" s="224"/>
      <c r="O88" s="224"/>
      <c r="P88" s="224"/>
      <c r="Q88" s="224"/>
      <c r="R88" s="224"/>
    </row>
    <row r="89" spans="13:22" ht="14.25" thickBot="1">
      <c r="M89" s="224" t="s">
        <v>59</v>
      </c>
      <c r="N89" s="224"/>
      <c r="O89" s="224"/>
      <c r="P89" s="224"/>
      <c r="Q89" s="224"/>
      <c r="R89" s="224" t="s">
        <v>60</v>
      </c>
      <c r="S89" s="224"/>
      <c r="T89" s="224"/>
      <c r="U89" s="224"/>
      <c r="V89" s="224"/>
    </row>
    <row r="90" spans="13:22">
      <c r="M90" s="226" t="s">
        <v>52</v>
      </c>
      <c r="N90" s="227" t="s">
        <v>61</v>
      </c>
      <c r="O90" s="228" t="s">
        <v>4</v>
      </c>
      <c r="P90" s="224"/>
      <c r="Q90" s="224"/>
      <c r="R90" s="229" t="s">
        <v>62</v>
      </c>
      <c r="S90" s="229" t="s">
        <v>63</v>
      </c>
      <c r="T90" s="230" t="s">
        <v>64</v>
      </c>
      <c r="U90" s="231" t="s">
        <v>65</v>
      </c>
      <c r="V90" s="228" t="s">
        <v>66</v>
      </c>
    </row>
    <row r="91" spans="13:22" ht="14.25" thickBot="1">
      <c r="M91" s="232">
        <f>D13</f>
        <v>0</v>
      </c>
      <c r="N91" s="233">
        <f>D16</f>
        <v>0</v>
      </c>
      <c r="O91" s="234">
        <f>D17</f>
        <v>0</v>
      </c>
      <c r="P91" s="224"/>
      <c r="Q91" s="224"/>
      <c r="R91" s="229">
        <f>IF(O91&lt;=M103,7.5,IF(O91&lt;=M104,22,IF(O91&lt;=M105,37,IF(O91&lt;=M106,50,IF(O91&lt;=M107,100,IF(O91&lt;=M108,200,IF(O91&lt;=M109,500,"")))))))</f>
        <v>7.5</v>
      </c>
      <c r="S91" s="229" t="e">
        <f>IF(O96=3,"",IF(O96=1,LOOKUP(R91,M103:O109,N103:N109),LOOKUP(R91,S103:U109,T103:T109)))</f>
        <v>#N/A</v>
      </c>
      <c r="T91" s="235" t="e">
        <f>IF(O96=3,"",IF(O96=1,LOOKUP(R91,M103:O109,O103:O109),LOOKUP(R91,S103:U109,U103:U109)))</f>
        <v>#N/A</v>
      </c>
      <c r="U91" s="232" t="e">
        <f>ROUND(O91/S91,1)</f>
        <v>#N/A</v>
      </c>
      <c r="V91" s="234" t="e">
        <f>ROUND(O91*T91,1)</f>
        <v>#N/A</v>
      </c>
    </row>
    <row r="92" spans="13:22">
      <c r="M92" s="236"/>
      <c r="N92" s="224"/>
      <c r="O92" s="224"/>
      <c r="P92" s="224"/>
      <c r="Q92" s="224"/>
      <c r="R92" s="224"/>
    </row>
    <row r="93" spans="13:22">
      <c r="M93" s="224" t="s">
        <v>67</v>
      </c>
      <c r="P93" s="224"/>
      <c r="Q93" s="224"/>
      <c r="R93" s="224"/>
    </row>
    <row r="94" spans="13:22" ht="14.25" thickBot="1">
      <c r="M94" s="224" t="s">
        <v>54</v>
      </c>
      <c r="N94" s="224"/>
      <c r="O94" s="224" t="s">
        <v>68</v>
      </c>
      <c r="P94" s="224"/>
      <c r="Q94" s="224"/>
      <c r="R94" s="224"/>
    </row>
    <row r="95" spans="13:22">
      <c r="M95" s="226" t="s">
        <v>55</v>
      </c>
      <c r="N95" s="237">
        <v>1</v>
      </c>
      <c r="O95" s="238"/>
      <c r="P95" s="224"/>
      <c r="Q95" s="224"/>
      <c r="R95" s="224"/>
    </row>
    <row r="96" spans="13:22">
      <c r="M96" s="239" t="s">
        <v>56</v>
      </c>
      <c r="N96" s="230">
        <v>2</v>
      </c>
      <c r="O96" s="240" t="e">
        <f>MATCH(M91,M95:M98,0)</f>
        <v>#N/A</v>
      </c>
      <c r="P96" s="224"/>
      <c r="Q96" s="224"/>
      <c r="R96" s="224"/>
    </row>
    <row r="97" spans="13:22">
      <c r="M97" s="239" t="s">
        <v>57</v>
      </c>
      <c r="N97" s="230">
        <v>3</v>
      </c>
      <c r="O97" s="240"/>
      <c r="P97" s="224"/>
      <c r="Q97" s="224"/>
      <c r="R97" s="224"/>
    </row>
    <row r="98" spans="13:22" ht="14.25" thickBot="1">
      <c r="M98" s="241"/>
      <c r="N98" s="242">
        <v>4</v>
      </c>
      <c r="O98" s="243"/>
      <c r="P98" s="224"/>
      <c r="Q98" s="224"/>
      <c r="R98" s="224"/>
    </row>
    <row r="99" spans="13:22">
      <c r="M99" s="224"/>
      <c r="N99" s="224"/>
      <c r="O99" s="224"/>
      <c r="P99" s="224"/>
      <c r="Q99" s="224"/>
      <c r="R99" s="224"/>
    </row>
    <row r="100" spans="13:22">
      <c r="M100" s="224"/>
      <c r="N100" s="224"/>
      <c r="O100" s="224"/>
      <c r="P100" s="224"/>
      <c r="Q100" s="224"/>
      <c r="R100" s="224"/>
    </row>
    <row r="101" spans="13:22" ht="14.25" thickBot="1">
      <c r="M101" s="244" t="s">
        <v>69</v>
      </c>
      <c r="N101" s="224"/>
      <c r="O101" s="224"/>
      <c r="P101" s="224"/>
      <c r="Q101" s="224"/>
      <c r="R101" s="224"/>
      <c r="S101" s="245" t="s">
        <v>56</v>
      </c>
    </row>
    <row r="102" spans="13:22">
      <c r="M102" s="226" t="s">
        <v>24</v>
      </c>
      <c r="N102" s="227" t="s">
        <v>63</v>
      </c>
      <c r="O102" s="227" t="s">
        <v>64</v>
      </c>
      <c r="P102" s="228" t="s">
        <v>70</v>
      </c>
      <c r="Q102" s="224"/>
      <c r="R102" s="224"/>
      <c r="S102" s="226" t="s">
        <v>24</v>
      </c>
      <c r="T102" s="227" t="s">
        <v>63</v>
      </c>
      <c r="U102" s="227" t="s">
        <v>64</v>
      </c>
      <c r="V102" s="228" t="s">
        <v>70</v>
      </c>
    </row>
    <row r="103" spans="13:22">
      <c r="M103" s="239">
        <v>7.5</v>
      </c>
      <c r="N103" s="246">
        <f>ROUND(0.0006*N91^2 + 0.0757*N91 + 2.7825,2)</f>
        <v>2.78</v>
      </c>
      <c r="O103" s="247">
        <f>ROUND( 0.000000003553*N91^6 + 0.000000543278*N91^5 + 0.000027453073*N91^4 + 0.000433171771*N91^3 - 0.00017474691*N91^2 - 0.088829151639*N91 + 0.533845237849,1)</f>
        <v>0.5</v>
      </c>
      <c r="P103" s="248" t="s">
        <v>71</v>
      </c>
      <c r="Q103" s="224"/>
      <c r="R103" s="224"/>
      <c r="S103" s="239">
        <v>7.5</v>
      </c>
      <c r="T103" s="229">
        <f>ROUND(-0.00001667*N91^3 - 0.0026*N91^2 - 0.10558333*N91- 0.125,2)</f>
        <v>-0.13</v>
      </c>
      <c r="U103" s="229">
        <f>ROUND(-0.00176667*N91^3 - 0.278*N91^2 - 14.97583333*N91 - 267.45,1)</f>
        <v>-267.5</v>
      </c>
      <c r="V103" s="248" t="s">
        <v>71</v>
      </c>
    </row>
    <row r="104" spans="13:22">
      <c r="M104" s="239">
        <v>22</v>
      </c>
      <c r="N104" s="246">
        <f>ROUND(-0.000004*N91^3 + 0.00002*N91^2 + 0.0508*N91 + 2.5651,2)</f>
        <v>2.57</v>
      </c>
      <c r="O104" s="249">
        <f>ROUND(0.000000002263*N91^6 + 0.000000296851*N91^5 + 0.000011526623*N91^4 + 0.000086833525*N91^3 - 0.000502475194*N91^2 - 0.05233406503*N91 + 0.904944679861,1)</f>
        <v>0.9</v>
      </c>
      <c r="P104" s="248" t="s">
        <v>72</v>
      </c>
      <c r="Q104" s="224"/>
      <c r="R104" s="224"/>
      <c r="S104" s="239">
        <v>22</v>
      </c>
      <c r="T104" s="246">
        <f>ROUND(0.00001382*N91^3 + 0.00215385*N91^2 + 0.13301127*N91 + 3.77917949,2)</f>
        <v>3.78</v>
      </c>
      <c r="U104" s="249">
        <f>ROUND(-0.00006123*N91^3 - 0.00389744*N91^2 - 0.16532246*N91 - 0.06289044,1)</f>
        <v>-0.1</v>
      </c>
      <c r="V104" s="248" t="s">
        <v>72</v>
      </c>
    </row>
    <row r="105" spans="13:22">
      <c r="M105" s="239">
        <v>37</v>
      </c>
      <c r="N105" s="250">
        <f>ROUND(0.000005*N91^3 + 0.001*N91^2 + 0.0773*N91 + 2.7275,2)</f>
        <v>2.73</v>
      </c>
      <c r="O105" s="249">
        <f>ROUND( -0.00000000212*N91^6 - 0.00000037096*N91^5 - 0.00002146079*N91^4 - 0.00040653695*N91^3 + 0.00218645529*N91^2 + 0.02518880663*N91 + 1.0488835751,1)</f>
        <v>1</v>
      </c>
      <c r="P105" s="248" t="s">
        <v>73</v>
      </c>
      <c r="Q105" s="224"/>
      <c r="R105" s="224"/>
      <c r="S105" s="239">
        <v>37</v>
      </c>
      <c r="T105" s="250">
        <f>ROUND(0.0000128*N91^3 + 0.00193472*N91^2 + 0.11807243*N91+ 3.54587413,2)</f>
        <v>3.55</v>
      </c>
      <c r="U105" s="249">
        <f>ROUND(-0.0000021*N91^3 + 0.00064086*N91^2 - 0.05238262*N91+ 0.7979021,1)</f>
        <v>0.8</v>
      </c>
      <c r="V105" s="248" t="s">
        <v>73</v>
      </c>
    </row>
    <row r="106" spans="13:22">
      <c r="M106" s="239">
        <v>50</v>
      </c>
      <c r="N106" s="246">
        <f>ROUND(0.000007*N91^3 + 0.0011*N91^2 + 0.0729*N91 + 2.6124,2)</f>
        <v>2.61</v>
      </c>
      <c r="O106" s="247">
        <f>ROUND(-0.000000001078*N91^6 - 0.000000182748*N91^5 - 0.000009379622*N91^4 - 0.00011653724*N91^3 + 0.002579270244*N91^2 - 0.005197763751*N91 + 1.045369517763,1)</f>
        <v>1</v>
      </c>
      <c r="P106" s="248" t="s">
        <v>74</v>
      </c>
      <c r="Q106" s="224"/>
      <c r="R106" s="224"/>
      <c r="S106" s="239">
        <v>50</v>
      </c>
      <c r="T106" s="246">
        <f>ROUND(0.00001373*N91^3 + 0.00192822*N91^2 + 0.11082884*N91 + 3.39328671,2)</f>
        <v>3.39</v>
      </c>
      <c r="U106" s="247">
        <f xml:space="preserve"> ROUND(0.00000699*N91^3+0.00090543*N91^2-0.03875458*N91+1.05314685,1)</f>
        <v>1.1000000000000001</v>
      </c>
      <c r="V106" s="248" t="s">
        <v>74</v>
      </c>
    </row>
    <row r="107" spans="13:22">
      <c r="M107" s="239">
        <v>100</v>
      </c>
      <c r="N107" s="246">
        <f>ROUND(0.0000105*N91^3 + 0.0012579*N91^2 + 0.0685124 *N91 + 2.4694053,2)</f>
        <v>2.4700000000000002</v>
      </c>
      <c r="O107" s="247">
        <f>ROUND(0.000000017*N91^5 + 0.0000032152*N91^4 + 0.0001646219*N91^3 + 0.0026516005*N91^2 - 0.0363092395*N91 + 1.0255280799,1)</f>
        <v>1</v>
      </c>
      <c r="P107" s="248" t="s">
        <v>75</v>
      </c>
      <c r="Q107" s="224"/>
      <c r="R107" s="224"/>
      <c r="S107" s="239">
        <v>100</v>
      </c>
      <c r="T107" s="246">
        <f>ROUND(0.00001522*N91^3 + 0.00192213*N91^2 + 0.10282201*N91+ 3.2665035,2)</f>
        <v>3.27</v>
      </c>
      <c r="U107" s="247">
        <f>ROUND(-0.0000462*N91^3-0.0037293*N91^2-0.1244555*N91+0.634965,1)</f>
        <v>0.6</v>
      </c>
      <c r="V107" s="248" t="s">
        <v>75</v>
      </c>
    </row>
    <row r="108" spans="13:22">
      <c r="M108" s="239">
        <v>200</v>
      </c>
      <c r="N108" s="246">
        <f>ROUND(0.0000000044*N91^5 + 0.0000008622*N91^4 + 0.0000655586*N91^3 + 0.0023136959*N91^2 + 0.0598248032*N91 + 2.2982465767,2)</f>
        <v>2.2999999999999998</v>
      </c>
      <c r="O108" s="247">
        <f>ROUND(-0.0000000341*N91^5 - 0.0000044375*N91^4 - 0.0001783565*N91^3 - 0.0008542275*N91^2 + 0.0182499391*N91 + 1.144942445,1)</f>
        <v>1.1000000000000001</v>
      </c>
      <c r="P108" s="248" t="s">
        <v>76</v>
      </c>
      <c r="Q108" s="251"/>
      <c r="R108" s="224"/>
      <c r="S108" s="239">
        <v>200</v>
      </c>
      <c r="T108" s="246">
        <f>ROUND(0.00000944*N91^3 + 0.00115247*N91^2 + 0.07135127*N91 + 2.92542017,2)</f>
        <v>2.93</v>
      </c>
      <c r="U108" s="247">
        <f>ROUND(-0.000000002752*N91^6 - 0.000000489863*N91^5 - 0.000032964727*N91^4 - 0.001048391394*N91^3 - 0.015273276368*N91^2 - 0.09684935458*N91 + 0.971052630114,1)</f>
        <v>1</v>
      </c>
      <c r="V108" s="248" t="s">
        <v>76</v>
      </c>
    </row>
    <row r="109" spans="13:22" ht="14.25" thickBot="1">
      <c r="M109" s="232">
        <v>500</v>
      </c>
      <c r="N109" s="252">
        <f>ROUND(0.0000002665*N91^4 +  0.0000404208*N91^3 + 0.0020321559*N91^2 + 0.0627314245*N91 + 2.3352451598,2)</f>
        <v>2.34</v>
      </c>
      <c r="O109" s="253">
        <f>ROUND(-0.0000170272*N91^3 -  0.0001161603*N91^2 - 0.00555552*N91 + 1.1314049312,1)</f>
        <v>1.1000000000000001</v>
      </c>
      <c r="P109" s="254" t="s">
        <v>77</v>
      </c>
      <c r="Q109" s="224"/>
      <c r="R109" s="224"/>
      <c r="S109" s="232">
        <v>500</v>
      </c>
      <c r="T109" s="252">
        <f>ROUND(0.00002232*N91^3 + 0.00201377*N91^2 + 0.08402555*N91 + 2.96218429,2)</f>
        <v>2.96</v>
      </c>
      <c r="U109" s="253">
        <f>ROUND(-0.00000186*N91^3 + 0.00057672*N91^2 - 0.00083779*N91 + 0.70241053,1)</f>
        <v>0.7</v>
      </c>
      <c r="V109" s="254" t="s">
        <v>77</v>
      </c>
    </row>
    <row r="113" spans="14:15" ht="18.75">
      <c r="N113" s="282"/>
      <c r="O113" s="282"/>
    </row>
  </sheetData>
  <sheetProtection algorithmName="SHA-512" hashValue="3frrwYX9j3QTpE97YDyvTMMlEvj3VUxWMTWphzX6hVAVs9Ao0eKHUzNaT52kNypD5N/HOZjXRkaCUAA+InYyYA==" saltValue="zcGG447BnPb7b5cQG3V4qw==" spinCount="100000" sheet="1" selectLockedCells="1"/>
  <protectedRanges>
    <protectedRange sqref="E20 E22 E21:F21 E23:F23 E14 D9:D30 E27:F27" name="範囲1_13"/>
  </protectedRanges>
  <mergeCells count="30">
    <mergeCell ref="H40:I40"/>
    <mergeCell ref="B58:G58"/>
    <mergeCell ref="B37:B38"/>
    <mergeCell ref="C37:C38"/>
    <mergeCell ref="H37:H38"/>
    <mergeCell ref="I37:I38"/>
    <mergeCell ref="B39:C39"/>
    <mergeCell ref="H39:I39"/>
    <mergeCell ref="B33:B34"/>
    <mergeCell ref="C33:C34"/>
    <mergeCell ref="H33:H34"/>
    <mergeCell ref="I33:I34"/>
    <mergeCell ref="B35:B36"/>
    <mergeCell ref="C35:C36"/>
    <mergeCell ref="H35:H36"/>
    <mergeCell ref="I35:I36"/>
    <mergeCell ref="H27:H28"/>
    <mergeCell ref="I27:I28"/>
    <mergeCell ref="B2:F2"/>
    <mergeCell ref="B3:F3"/>
    <mergeCell ref="H3:H4"/>
    <mergeCell ref="I3:I4"/>
    <mergeCell ref="H5:H6"/>
    <mergeCell ref="I5:I6"/>
    <mergeCell ref="E6:F6"/>
    <mergeCell ref="B7:C8"/>
    <mergeCell ref="D7:D8"/>
    <mergeCell ref="F7:F8"/>
    <mergeCell ref="H20:H21"/>
    <mergeCell ref="I20:I21"/>
  </mergeCells>
  <phoneticPr fontId="3"/>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allowBlank="1" showInputMessage="1" showErrorMessage="1" sqref="E8" xr:uid="{266CA754-60F8-45FB-B157-1D67C4310101}">
      <formula1>"自動計算,手動計算"</formula1>
    </dataValidation>
    <dataValidation type="list" allowBlank="1" showInputMessage="1" showErrorMessage="1" sqref="F14" xr:uid="{34547BCC-2040-47DB-ACC8-E21357EEC414}">
      <formula1>$F$46:$F$57</formula1>
    </dataValidation>
    <dataValidation type="list" allowBlank="1" showInputMessage="1" showErrorMessage="1" sqref="D14" xr:uid="{02C4AAC5-BBC1-4C15-9EEB-846659C71F31}">
      <formula1>$B$46:$B$53</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E14" xr:uid="{02E018E8-5311-49D5-95C2-30CE0038F6CD}">
      <formula1>$D$46:$D$56</formula1>
    </dataValidation>
    <dataValidation type="list" allowBlank="1" showInputMessage="1" sqref="D15" xr:uid="{6E1E91DC-9C28-405B-BEB7-A8150C5A285B}">
      <formula1>$D$63:$D$66</formula1>
    </dataValidation>
    <dataValidation type="list" allowBlank="1" showInputMessage="1" showErrorMessage="1" sqref="D13" xr:uid="{D131A382-4D97-4A39-AF58-4805ADE9CC24}">
      <formula1>$E$63:$E$66</formula1>
    </dataValidation>
    <dataValidation type="list" showInputMessage="1" showErrorMessage="1" sqref="G14" xr:uid="{1B1D49A9-DBE3-4C98-88DF-7CB972E0CC14}">
      <formula1>$F$46:$F$57</formula1>
    </dataValidation>
  </dataValidations>
  <pageMargins left="0.31496062992125984" right="0.31496062992125984" top="0.55118110236220474" bottom="0.35433070866141736" header="0.31496062992125984" footer="0.31496062992125984"/>
  <pageSetup paperSize="9" scale="65" fitToWidth="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2AF7-AB38-488F-9F99-A59F8F40D972}">
  <dimension ref="A1:P22"/>
  <sheetViews>
    <sheetView topLeftCell="D1" zoomScale="70" zoomScaleNormal="70" zoomScaleSheetLayoutView="75" workbookViewId="0">
      <selection activeCell="H1" sqref="H1"/>
    </sheetView>
  </sheetViews>
  <sheetFormatPr defaultColWidth="9" defaultRowHeight="17.25"/>
  <cols>
    <col min="1" max="1" width="3.5" style="255" bestFit="1" customWidth="1"/>
    <col min="2" max="2" width="41" style="255" customWidth="1"/>
    <col min="3" max="3" width="25.75" style="255" customWidth="1"/>
    <col min="4" max="4" width="46.125" style="255" customWidth="1"/>
    <col min="5" max="5" width="5.25" style="255" bestFit="1" customWidth="1"/>
    <col min="6" max="6" width="31.375" style="255" customWidth="1"/>
    <col min="7" max="7" width="4.5" style="255" bestFit="1" customWidth="1"/>
    <col min="8" max="8" width="39.5" style="255" customWidth="1"/>
    <col min="9" max="9" width="3.375" style="255" bestFit="1" customWidth="1"/>
    <col min="10" max="10" width="17.375" style="255" bestFit="1" customWidth="1"/>
    <col min="11" max="11" width="3.375" style="255" bestFit="1" customWidth="1"/>
    <col min="12" max="12" width="23.625" style="255" customWidth="1"/>
    <col min="13" max="13" width="9" style="255"/>
    <col min="14" max="14" width="16.75" style="255" bestFit="1" customWidth="1"/>
    <col min="15" max="15" width="15" style="255" bestFit="1" customWidth="1"/>
    <col min="16" max="16384" width="9" style="255"/>
  </cols>
  <sheetData>
    <row r="1" spans="1:16" ht="30" customHeight="1">
      <c r="B1" s="269" t="s">
        <v>271</v>
      </c>
      <c r="H1" s="51" t="s">
        <v>304</v>
      </c>
    </row>
    <row r="2" spans="1:16" ht="30" customHeight="1">
      <c r="B2" s="257" t="s">
        <v>190</v>
      </c>
      <c r="C2" s="274"/>
      <c r="D2" s="273" t="s">
        <v>273</v>
      </c>
      <c r="F2" s="273" t="s">
        <v>283</v>
      </c>
    </row>
    <row r="3" spans="1:16" ht="30" customHeight="1">
      <c r="C3" s="256"/>
      <c r="D3" s="257"/>
      <c r="H3" s="51"/>
    </row>
    <row r="4" spans="1:16" ht="30" customHeight="1">
      <c r="C4" s="256"/>
      <c r="E4" s="2"/>
      <c r="F4" s="502" t="s">
        <v>276</v>
      </c>
      <c r="G4" s="270"/>
      <c r="H4" s="3" t="s">
        <v>275</v>
      </c>
      <c r="I4" s="3"/>
    </row>
    <row r="5" spans="1:16" ht="30" customHeight="1">
      <c r="C5" s="256"/>
      <c r="E5" s="51"/>
      <c r="F5" s="502"/>
      <c r="G5" s="271"/>
      <c r="H5" s="3" t="s">
        <v>274</v>
      </c>
      <c r="I5" s="3"/>
    </row>
    <row r="6" spans="1:16" ht="30" customHeight="1">
      <c r="A6" s="258">
        <v>1</v>
      </c>
      <c r="B6" s="259" t="s">
        <v>191</v>
      </c>
      <c r="C6" s="258"/>
      <c r="D6" s="258"/>
      <c r="E6" s="260"/>
      <c r="F6" s="260"/>
      <c r="G6" s="260"/>
      <c r="H6" s="260"/>
      <c r="I6" s="260"/>
      <c r="M6" s="2"/>
      <c r="N6" s="2"/>
      <c r="O6" s="2"/>
      <c r="P6" s="2"/>
    </row>
    <row r="7" spans="1:16" ht="30" customHeight="1">
      <c r="A7" s="257"/>
      <c r="B7" s="261"/>
      <c r="D7" s="257"/>
      <c r="E7" s="2"/>
      <c r="F7" s="2"/>
      <c r="G7" s="2"/>
      <c r="H7" s="2"/>
      <c r="I7" s="2"/>
      <c r="M7" s="2"/>
      <c r="N7" s="2"/>
      <c r="O7" s="2"/>
      <c r="P7" s="2"/>
    </row>
    <row r="8" spans="1:16" ht="30" customHeight="1">
      <c r="A8" s="2"/>
      <c r="B8" s="262" t="s">
        <v>192</v>
      </c>
      <c r="C8" s="262"/>
      <c r="D8" s="273"/>
      <c r="E8" s="257" t="s">
        <v>24</v>
      </c>
      <c r="F8" s="2"/>
      <c r="G8" s="2"/>
      <c r="H8" s="2"/>
      <c r="I8" s="2"/>
      <c r="M8" s="2"/>
      <c r="N8" s="2"/>
      <c r="O8" s="2"/>
      <c r="P8" s="2"/>
    </row>
    <row r="9" spans="1:16" ht="30" customHeight="1">
      <c r="A9" s="2"/>
      <c r="B9" s="255" t="s">
        <v>193</v>
      </c>
      <c r="D9" s="2"/>
      <c r="E9" s="2"/>
      <c r="F9" s="2"/>
      <c r="G9" s="2"/>
      <c r="H9" s="2"/>
      <c r="I9" s="2"/>
      <c r="J9" s="2"/>
      <c r="K9" s="2"/>
      <c r="L9" s="2"/>
      <c r="M9" s="2"/>
      <c r="N9" s="2"/>
      <c r="O9" s="2"/>
      <c r="P9" s="2"/>
    </row>
    <row r="10" spans="1:16" ht="30" customHeight="1">
      <c r="A10" s="2"/>
      <c r="D10" s="2"/>
      <c r="E10" s="2"/>
      <c r="F10" s="2"/>
      <c r="G10" s="2"/>
      <c r="H10" s="2"/>
      <c r="I10" s="2"/>
      <c r="J10" s="2"/>
      <c r="K10" s="2"/>
      <c r="L10" s="2"/>
      <c r="M10" s="2"/>
      <c r="N10" s="2"/>
      <c r="O10" s="2"/>
      <c r="P10" s="2"/>
    </row>
    <row r="11" spans="1:16" ht="50.1" customHeight="1">
      <c r="A11" s="2"/>
      <c r="B11" s="2"/>
      <c r="C11" s="2"/>
      <c r="D11" s="279" t="s">
        <v>194</v>
      </c>
      <c r="E11" s="2"/>
      <c r="F11" s="279" t="s">
        <v>195</v>
      </c>
      <c r="G11" s="2"/>
      <c r="H11" s="279" t="s">
        <v>196</v>
      </c>
      <c r="I11" s="2"/>
      <c r="J11" s="263"/>
      <c r="K11" s="263"/>
      <c r="M11" s="2"/>
      <c r="N11" s="2"/>
      <c r="O11" s="2"/>
      <c r="P11" s="2"/>
    </row>
    <row r="12" spans="1:16" ht="50.1" customHeight="1">
      <c r="A12" s="2" t="s">
        <v>197</v>
      </c>
      <c r="B12" s="255" t="s">
        <v>198</v>
      </c>
      <c r="C12" s="255" t="s">
        <v>199</v>
      </c>
      <c r="D12" s="277" t="str">
        <f>IFERROR(ROUND((F12/(F12+F13))*D8,),"")</f>
        <v/>
      </c>
      <c r="E12" s="2" t="s">
        <v>200</v>
      </c>
      <c r="F12" s="272"/>
      <c r="G12" s="2" t="s">
        <v>207</v>
      </c>
      <c r="H12" s="278" t="str">
        <f>IFERROR(IF((D12/F12)*100&lt;=100,ROUND((D12/F12)*100,0),"エラー"),"")</f>
        <v/>
      </c>
      <c r="I12" s="2"/>
      <c r="J12" s="263"/>
      <c r="K12" s="263"/>
      <c r="M12" s="2"/>
      <c r="P12" s="2"/>
    </row>
    <row r="13" spans="1:16" ht="50.1" customHeight="1">
      <c r="A13" s="2" t="s">
        <v>202</v>
      </c>
      <c r="B13" s="255" t="s">
        <v>198</v>
      </c>
      <c r="C13" s="255" t="s">
        <v>199</v>
      </c>
      <c r="D13" s="277" t="str">
        <f>IFERROR(ROUND((F13/(F12+F13))*D8,),"")</f>
        <v/>
      </c>
      <c r="E13" s="2" t="s">
        <v>200</v>
      </c>
      <c r="F13" s="272"/>
      <c r="G13" s="2" t="s">
        <v>207</v>
      </c>
      <c r="H13" s="278" t="str">
        <f>IFERROR(IF((D13/F13)*100&lt;=100,ROUND((D13/F13)*100,0),"エラー"),"")</f>
        <v/>
      </c>
      <c r="I13" s="2"/>
      <c r="J13" s="263"/>
      <c r="K13" s="263"/>
      <c r="M13" s="2"/>
      <c r="P13" s="2"/>
    </row>
    <row r="14" spans="1:16" ht="50.1" customHeight="1">
      <c r="A14" s="2"/>
      <c r="B14" s="2"/>
      <c r="C14" s="2"/>
      <c r="D14" s="264"/>
      <c r="E14" s="2"/>
      <c r="F14" s="2"/>
      <c r="G14" s="2"/>
      <c r="H14" s="2"/>
      <c r="I14" s="2"/>
      <c r="J14" s="263"/>
      <c r="K14" s="263"/>
      <c r="L14" s="265"/>
      <c r="M14" s="2"/>
      <c r="N14" s="3"/>
      <c r="O14" s="2"/>
      <c r="P14" s="2"/>
    </row>
    <row r="15" spans="1:16" ht="30" customHeight="1"/>
    <row r="16" spans="1:16" ht="30" customHeight="1">
      <c r="A16" s="259">
        <v>2</v>
      </c>
      <c r="B16" s="259" t="s">
        <v>203</v>
      </c>
      <c r="C16" s="266"/>
      <c r="D16" s="266"/>
      <c r="E16" s="266"/>
      <c r="F16" s="266"/>
      <c r="G16" s="266"/>
      <c r="H16" s="266"/>
      <c r="I16" s="266"/>
    </row>
    <row r="17" spans="1:8" ht="30" customHeight="1">
      <c r="A17" s="261"/>
      <c r="B17" s="261"/>
    </row>
    <row r="18" spans="1:8" ht="50.1" customHeight="1">
      <c r="D18" s="281" t="s">
        <v>204</v>
      </c>
      <c r="E18" s="2"/>
      <c r="F18" s="279" t="s">
        <v>205</v>
      </c>
      <c r="G18" s="2"/>
      <c r="H18" s="280" t="s">
        <v>206</v>
      </c>
    </row>
    <row r="19" spans="1:8" ht="50.1" customHeight="1">
      <c r="A19" s="2" t="s">
        <v>197</v>
      </c>
      <c r="B19" s="255" t="str">
        <f>B12</f>
        <v>系統No.（　　　　　）</v>
      </c>
      <c r="C19" s="255" t="str">
        <f>C12</f>
        <v>型式No.(     )</v>
      </c>
      <c r="D19" s="276" t="str">
        <f>H12</f>
        <v/>
      </c>
      <c r="E19" s="2" t="s">
        <v>201</v>
      </c>
      <c r="F19" s="275"/>
      <c r="G19" s="2" t="s">
        <v>207</v>
      </c>
      <c r="H19" s="267" t="str">
        <f>IFERROR(ROUND(D19*F19/100,2),"")</f>
        <v/>
      </c>
    </row>
    <row r="20" spans="1:8" ht="50.1" customHeight="1">
      <c r="A20" s="2" t="s">
        <v>202</v>
      </c>
      <c r="B20" s="255" t="str">
        <f>B13</f>
        <v>系統No.（　　　　　）</v>
      </c>
      <c r="C20" s="255" t="str">
        <f>C13</f>
        <v>型式No.(     )</v>
      </c>
      <c r="D20" s="276" t="str">
        <f>H13</f>
        <v/>
      </c>
      <c r="E20" s="2" t="s">
        <v>201</v>
      </c>
      <c r="F20" s="275"/>
      <c r="G20" s="2" t="s">
        <v>207</v>
      </c>
      <c r="H20" s="267" t="str">
        <f>IFERROR(ROUND(D20*F20/100,2),"")</f>
        <v/>
      </c>
    </row>
    <row r="21" spans="1:8" ht="50.1" customHeight="1"/>
    <row r="22" spans="1:8" ht="30" customHeight="1"/>
  </sheetData>
  <mergeCells count="1">
    <mergeCell ref="F4:F5"/>
  </mergeCells>
  <phoneticPr fontId="3"/>
  <dataValidations count="4">
    <dataValidation type="list" allowBlank="1" showInputMessage="1" showErrorMessage="1" sqref="F2" xr:uid="{0D7FBC7F-C790-4E9B-B6CC-8C7B171A02DD}">
      <formula1>"脱炭素型自然冷媒機器,比較対象フロン冷媒機器,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3" xr:uid="{E6C684DA-1D7A-4812-8286-C100A1C34685}">
      <formula1>"冷蔵冷凍倉庫,食品工場"</formula1>
    </dataValidation>
  </dataValidations>
  <pageMargins left="0.7" right="0.7" top="0.75" bottom="0.75" header="0.3" footer="0.3"/>
  <pageSetup paperSize="9" scale="66"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C5F4-089B-4E79-BBDB-76EED389FEDB}">
  <dimension ref="A1:K139"/>
  <sheetViews>
    <sheetView tabSelected="1" zoomScaleNormal="100" zoomScaleSheetLayoutView="80" workbookViewId="0">
      <selection activeCell="E10" sqref="E10"/>
    </sheetView>
  </sheetViews>
  <sheetFormatPr defaultColWidth="8.875" defaultRowHeight="14.25"/>
  <cols>
    <col min="1" max="1" width="18.875" style="4" customWidth="1"/>
    <col min="2" max="5" width="15.875" style="4" customWidth="1"/>
    <col min="6" max="6" width="5.875" style="4" customWidth="1"/>
    <col min="7" max="16384" width="8.875" style="4"/>
  </cols>
  <sheetData>
    <row r="1" spans="1:7" s="165" customFormat="1" ht="45" customHeight="1">
      <c r="A1" s="284" t="s">
        <v>271</v>
      </c>
      <c r="F1" s="285" t="s">
        <v>305</v>
      </c>
    </row>
    <row r="2" spans="1:7" s="165" customFormat="1" ht="20.100000000000001" customHeight="1">
      <c r="C2" s="286" t="s">
        <v>208</v>
      </c>
      <c r="D2" s="287"/>
      <c r="E2" s="287"/>
      <c r="F2" s="287"/>
    </row>
    <row r="3" spans="1:7" s="165" customFormat="1" ht="20.100000000000001" customHeight="1">
      <c r="C3" s="286"/>
      <c r="D3" s="287"/>
      <c r="E3" s="287"/>
      <c r="F3" s="287"/>
    </row>
    <row r="4" spans="1:7" s="165" customFormat="1" ht="20.100000000000001" customHeight="1">
      <c r="B4" s="287"/>
      <c r="C4" s="287"/>
      <c r="D4" s="287" t="s">
        <v>209</v>
      </c>
      <c r="E4" s="287" t="s">
        <v>199</v>
      </c>
      <c r="F4" s="287"/>
    </row>
    <row r="5" spans="1:7" s="165" customFormat="1" ht="20.100000000000001" customHeight="1">
      <c r="B5" s="287"/>
      <c r="C5" s="287"/>
      <c r="D5" s="287"/>
      <c r="E5" s="287"/>
      <c r="F5" s="287"/>
    </row>
    <row r="6" spans="1:7" s="165" customFormat="1" ht="20.100000000000001" customHeight="1">
      <c r="A6" s="288" t="s">
        <v>277</v>
      </c>
      <c r="B6" s="121" t="s">
        <v>285</v>
      </c>
      <c r="C6" s="287" t="s">
        <v>284</v>
      </c>
      <c r="D6" s="287"/>
      <c r="E6" s="287"/>
    </row>
    <row r="7" spans="1:7" s="165" customFormat="1" ht="20.100000000000001" customHeight="1">
      <c r="B7" s="288"/>
      <c r="C7" s="283"/>
      <c r="D7" s="82"/>
      <c r="E7" s="287"/>
      <c r="F7" s="287"/>
    </row>
    <row r="8" spans="1:7" s="165" customFormat="1" ht="20.100000000000001" customHeight="1">
      <c r="B8" s="288" t="s">
        <v>278</v>
      </c>
      <c r="C8" s="119"/>
      <c r="E8" s="287"/>
      <c r="F8" s="287"/>
    </row>
    <row r="9" spans="1:7" s="165" customFormat="1" ht="20.100000000000001" customHeight="1">
      <c r="B9" s="288" t="s">
        <v>279</v>
      </c>
      <c r="C9" s="122"/>
      <c r="D9" s="287" t="s">
        <v>210</v>
      </c>
      <c r="F9" s="287"/>
      <c r="G9" s="287"/>
    </row>
    <row r="10" spans="1:7" s="165" customFormat="1" ht="20.100000000000001" customHeight="1">
      <c r="B10" s="288" t="s">
        <v>280</v>
      </c>
      <c r="C10" s="121"/>
      <c r="D10" s="287" t="s">
        <v>210</v>
      </c>
      <c r="F10" s="287"/>
      <c r="G10" s="287"/>
    </row>
    <row r="11" spans="1:7" s="165" customFormat="1" ht="20.100000000000001" customHeight="1">
      <c r="B11" s="288" t="s">
        <v>281</v>
      </c>
      <c r="C11" s="111"/>
      <c r="D11" s="165" t="s">
        <v>24</v>
      </c>
      <c r="F11" s="287"/>
      <c r="G11" s="287"/>
    </row>
    <row r="12" spans="1:7" s="165" customFormat="1" ht="20.100000000000001" customHeight="1">
      <c r="B12" s="288" t="s">
        <v>282</v>
      </c>
      <c r="C12" s="111"/>
      <c r="D12" s="287" t="s">
        <v>24</v>
      </c>
      <c r="E12" s="289"/>
      <c r="F12" s="287"/>
      <c r="G12" s="287"/>
    </row>
    <row r="13" spans="1:7" s="165" customFormat="1" ht="20.100000000000001" customHeight="1">
      <c r="B13" s="287"/>
      <c r="C13" s="287"/>
      <c r="D13" s="287"/>
      <c r="E13" s="287"/>
      <c r="F13" s="287"/>
    </row>
    <row r="14" spans="1:7" s="165" customFormat="1" ht="20.100000000000001" customHeight="1">
      <c r="B14" s="287" t="s">
        <v>211</v>
      </c>
      <c r="C14" s="287" t="s">
        <v>212</v>
      </c>
      <c r="D14" s="287" t="s">
        <v>213</v>
      </c>
      <c r="E14" s="287"/>
      <c r="G14" s="287"/>
    </row>
    <row r="15" spans="1:7" s="165" customFormat="1" ht="20.100000000000001" customHeight="1">
      <c r="B15" s="287" t="str">
        <f>IF(C8="空冷式（空冷散水式含む）","平均気温","平均湿球温度")&amp;"に対する冷凍機の冷凍能力と消費動力の"</f>
        <v>平均湿球温度に対する冷凍機の冷凍能力と消費動力の</v>
      </c>
      <c r="C15" s="289"/>
      <c r="D15" s="289"/>
      <c r="E15" s="287"/>
      <c r="F15" s="287"/>
      <c r="G15" s="287"/>
    </row>
    <row r="16" spans="1:7" s="165" customFormat="1" ht="20.100000000000001" customHeight="1">
      <c r="B16" s="287" t="s">
        <v>214</v>
      </c>
      <c r="C16" s="287"/>
      <c r="D16" s="287"/>
      <c r="E16" s="287"/>
    </row>
    <row r="17" spans="2:4" s="165" customFormat="1" ht="20.100000000000001" customHeight="1">
      <c r="B17" s="290"/>
      <c r="C17" s="291"/>
      <c r="D17" s="292"/>
    </row>
    <row r="18" spans="2:4" s="165" customFormat="1" ht="20.100000000000001" customHeight="1">
      <c r="B18" s="293" t="s">
        <v>215</v>
      </c>
      <c r="C18" s="294" t="str">
        <f>IFERROR(VLOOKUP(C8,B42:C45,2),"")</f>
        <v/>
      </c>
      <c r="D18" s="295" t="s">
        <v>216</v>
      </c>
    </row>
    <row r="19" spans="2:4" s="165" customFormat="1" ht="20.100000000000001" customHeight="1">
      <c r="B19" s="296"/>
      <c r="C19" s="297" t="s">
        <v>210</v>
      </c>
      <c r="D19" s="298" t="s">
        <v>217</v>
      </c>
    </row>
    <row r="20" spans="2:4" s="165" customFormat="1" ht="20.100000000000001" customHeight="1">
      <c r="B20" s="299" t="s">
        <v>218</v>
      </c>
      <c r="C20" s="300"/>
      <c r="D20" s="301" t="str">
        <f t="shared" ref="D20:D31" si="0">IF($C$9="","",E57)</f>
        <v/>
      </c>
    </row>
    <row r="21" spans="2:4" s="165" customFormat="1" ht="20.100000000000001" customHeight="1">
      <c r="B21" s="302" t="s">
        <v>219</v>
      </c>
      <c r="C21" s="303"/>
      <c r="D21" s="304" t="str">
        <f t="shared" si="0"/>
        <v/>
      </c>
    </row>
    <row r="22" spans="2:4" s="165" customFormat="1" ht="20.100000000000001" customHeight="1">
      <c r="B22" s="302" t="s">
        <v>220</v>
      </c>
      <c r="C22" s="303"/>
      <c r="D22" s="304" t="str">
        <f t="shared" si="0"/>
        <v/>
      </c>
    </row>
    <row r="23" spans="2:4" s="165" customFormat="1" ht="20.100000000000001" customHeight="1">
      <c r="B23" s="302" t="s">
        <v>221</v>
      </c>
      <c r="C23" s="303"/>
      <c r="D23" s="304" t="str">
        <f t="shared" si="0"/>
        <v/>
      </c>
    </row>
    <row r="24" spans="2:4" s="165" customFormat="1" ht="20.100000000000001" customHeight="1">
      <c r="B24" s="302" t="s">
        <v>222</v>
      </c>
      <c r="C24" s="303"/>
      <c r="D24" s="304" t="str">
        <f t="shared" si="0"/>
        <v/>
      </c>
    </row>
    <row r="25" spans="2:4" s="165" customFormat="1" ht="20.100000000000001" customHeight="1">
      <c r="B25" s="302" t="s">
        <v>223</v>
      </c>
      <c r="C25" s="303"/>
      <c r="D25" s="304" t="str">
        <f t="shared" si="0"/>
        <v/>
      </c>
    </row>
    <row r="26" spans="2:4" s="165" customFormat="1" ht="20.100000000000001" customHeight="1">
      <c r="B26" s="302" t="s">
        <v>224</v>
      </c>
      <c r="C26" s="303"/>
      <c r="D26" s="304" t="str">
        <f t="shared" si="0"/>
        <v/>
      </c>
    </row>
    <row r="27" spans="2:4" s="165" customFormat="1" ht="20.100000000000001" customHeight="1">
      <c r="B27" s="302" t="s">
        <v>225</v>
      </c>
      <c r="C27" s="303"/>
      <c r="D27" s="304" t="str">
        <f t="shared" si="0"/>
        <v/>
      </c>
    </row>
    <row r="28" spans="2:4" s="165" customFormat="1" ht="20.100000000000001" customHeight="1">
      <c r="B28" s="302" t="s">
        <v>226</v>
      </c>
      <c r="C28" s="303"/>
      <c r="D28" s="304" t="str">
        <f t="shared" si="0"/>
        <v/>
      </c>
    </row>
    <row r="29" spans="2:4" s="165" customFormat="1" ht="20.100000000000001" customHeight="1">
      <c r="B29" s="302" t="s">
        <v>227</v>
      </c>
      <c r="C29" s="303"/>
      <c r="D29" s="304" t="str">
        <f t="shared" si="0"/>
        <v/>
      </c>
    </row>
    <row r="30" spans="2:4" s="165" customFormat="1" ht="20.100000000000001" customHeight="1">
      <c r="B30" s="302" t="s">
        <v>228</v>
      </c>
      <c r="C30" s="303"/>
      <c r="D30" s="304" t="str">
        <f t="shared" si="0"/>
        <v/>
      </c>
    </row>
    <row r="31" spans="2:4" s="165" customFormat="1" ht="20.100000000000001" customHeight="1">
      <c r="B31" s="305" t="s">
        <v>229</v>
      </c>
      <c r="C31" s="306"/>
      <c r="D31" s="307" t="str">
        <f t="shared" si="0"/>
        <v/>
      </c>
    </row>
    <row r="32" spans="2:4" s="165" customFormat="1" ht="20.100000000000001" customHeight="1">
      <c r="B32" s="308"/>
      <c r="C32" s="309" t="s">
        <v>230</v>
      </c>
      <c r="D32" s="310" t="str">
        <f>IFERROR(AVERAGE(D20:D31),"")</f>
        <v/>
      </c>
    </row>
    <row r="33" spans="1:11" s="165" customFormat="1" ht="20.100000000000001" customHeight="1">
      <c r="B33" s="287"/>
      <c r="C33" s="288"/>
      <c r="D33" s="283"/>
      <c r="E33" s="287"/>
    </row>
    <row r="34" spans="1:11" s="165" customFormat="1" ht="20.100000000000001" customHeight="1"/>
    <row r="35" spans="1:11" s="165" customFormat="1" ht="20.100000000000001" customHeight="1">
      <c r="B35" s="165" t="str">
        <f>IFERROR(C18&amp;"の証憑書類を添付してください。","")</f>
        <v>の証憑書類を添付してください。</v>
      </c>
    </row>
    <row r="36" spans="1:11" s="165" customFormat="1" ht="20.100000000000001" customHeight="1"/>
    <row r="37" spans="1:11" s="165" customFormat="1" ht="20.100000000000001" customHeight="1"/>
    <row r="38" spans="1:11" s="165" customFormat="1" ht="20.100000000000001" customHeight="1"/>
    <row r="39" spans="1:11" s="165" customFormat="1" ht="20.100000000000001" customHeight="1"/>
    <row r="40" spans="1:11" s="165" customFormat="1" ht="20.100000000000001" customHeight="1"/>
    <row r="41" spans="1:11" s="165" customFormat="1" ht="20.100000000000001" customHeight="1">
      <c r="B41" s="311" t="s">
        <v>54</v>
      </c>
    </row>
    <row r="42" spans="1:11" s="165" customFormat="1" ht="20.100000000000001" customHeight="1">
      <c r="B42" s="312" t="s">
        <v>55</v>
      </c>
      <c r="C42" s="165" t="s">
        <v>231</v>
      </c>
      <c r="E42" s="287"/>
      <c r="F42" s="287"/>
    </row>
    <row r="43" spans="1:11" s="165" customFormat="1" ht="20.100000000000001" customHeight="1">
      <c r="B43" s="313" t="s">
        <v>56</v>
      </c>
      <c r="C43" s="165" t="s">
        <v>232</v>
      </c>
      <c r="E43" s="287"/>
      <c r="F43" s="287"/>
    </row>
    <row r="44" spans="1:11" s="165" customFormat="1" ht="20.100000000000001" customHeight="1">
      <c r="B44" s="313" t="s">
        <v>57</v>
      </c>
      <c r="E44" s="287"/>
      <c r="F44" s="287"/>
    </row>
    <row r="45" spans="1:11" s="165" customFormat="1" ht="20.100000000000001" customHeight="1">
      <c r="B45" s="314"/>
      <c r="E45" s="287"/>
      <c r="F45" s="287"/>
      <c r="G45" s="287"/>
      <c r="H45" s="287"/>
    </row>
    <row r="46" spans="1:11" ht="20.100000000000001" customHeight="1">
      <c r="D46" s="268"/>
      <c r="E46" s="268"/>
      <c r="F46" s="268"/>
      <c r="G46" s="268"/>
      <c r="H46" s="268"/>
    </row>
    <row r="47" spans="1:11" s="315" customFormat="1" hidden="1"/>
    <row r="48" spans="1:11" s="315" customFormat="1" hidden="1">
      <c r="A48" s="224"/>
      <c r="B48" s="224"/>
      <c r="C48" s="224"/>
      <c r="D48" s="224"/>
      <c r="E48" s="224"/>
      <c r="F48" s="224"/>
      <c r="G48" s="225"/>
      <c r="H48" s="225"/>
      <c r="I48" s="225"/>
      <c r="J48" s="225"/>
      <c r="K48" s="225"/>
    </row>
    <row r="49" spans="1:11" s="315" customFormat="1" hidden="1">
      <c r="A49" s="316" t="s">
        <v>233</v>
      </c>
      <c r="B49" s="225"/>
      <c r="C49" s="225"/>
      <c r="D49" s="225"/>
      <c r="E49" s="224"/>
      <c r="F49" s="224"/>
      <c r="G49" s="225"/>
      <c r="H49" s="225"/>
      <c r="I49" s="225"/>
      <c r="J49" s="225"/>
      <c r="K49" s="225"/>
    </row>
    <row r="50" spans="1:11" s="315" customFormat="1" hidden="1">
      <c r="A50" s="225" t="s">
        <v>59</v>
      </c>
      <c r="B50" s="224"/>
      <c r="C50" s="317" t="s">
        <v>234</v>
      </c>
      <c r="D50" s="225"/>
      <c r="E50" s="225"/>
      <c r="F50" s="224"/>
      <c r="G50" s="225"/>
      <c r="H50" s="225"/>
      <c r="I50" s="225"/>
      <c r="J50" s="225"/>
      <c r="K50" s="225"/>
    </row>
    <row r="51" spans="1:11" s="315" customFormat="1" hidden="1">
      <c r="A51" s="318" t="s">
        <v>52</v>
      </c>
      <c r="B51" s="319">
        <f>C8</f>
        <v>0</v>
      </c>
      <c r="C51" s="503" t="s">
        <v>235</v>
      </c>
      <c r="D51" s="504"/>
      <c r="E51" s="505"/>
      <c r="F51" s="224"/>
      <c r="G51" s="225"/>
      <c r="H51" s="224"/>
      <c r="I51" s="224"/>
      <c r="J51" s="225"/>
      <c r="K51" s="225"/>
    </row>
    <row r="52" spans="1:11" s="315" customFormat="1" hidden="1">
      <c r="A52" s="320" t="s">
        <v>236</v>
      </c>
      <c r="B52" s="321">
        <f>C10</f>
        <v>0</v>
      </c>
      <c r="C52" s="506"/>
      <c r="D52" s="507"/>
      <c r="E52" s="508"/>
      <c r="F52" s="224"/>
      <c r="G52" s="225"/>
      <c r="H52" s="224"/>
      <c r="I52" s="224"/>
      <c r="J52" s="225"/>
      <c r="K52" s="225"/>
    </row>
    <row r="53" spans="1:11" s="315" customFormat="1" hidden="1">
      <c r="A53" s="322" t="s">
        <v>237</v>
      </c>
      <c r="B53" s="321">
        <f>C9</f>
        <v>0</v>
      </c>
      <c r="C53" s="506"/>
      <c r="D53" s="507"/>
      <c r="E53" s="508"/>
      <c r="F53" s="224"/>
      <c r="G53" s="225"/>
      <c r="H53" s="224"/>
      <c r="I53" s="224"/>
      <c r="J53" s="225"/>
      <c r="K53" s="225"/>
    </row>
    <row r="54" spans="1:11" s="315" customFormat="1" hidden="1">
      <c r="A54" s="323" t="s">
        <v>4</v>
      </c>
      <c r="B54" s="321">
        <f>C11</f>
        <v>0</v>
      </c>
      <c r="C54" s="324" t="s">
        <v>238</v>
      </c>
      <c r="D54" s="325"/>
      <c r="E54" s="326"/>
      <c r="F54" s="224"/>
      <c r="G54" s="225" t="s">
        <v>67</v>
      </c>
      <c r="H54" s="224"/>
      <c r="I54" s="224"/>
      <c r="J54" s="225"/>
      <c r="K54" s="225"/>
    </row>
    <row r="55" spans="1:11" s="315" customFormat="1" hidden="1">
      <c r="A55" s="323" t="s">
        <v>239</v>
      </c>
      <c r="B55" s="327">
        <f>C12</f>
        <v>0</v>
      </c>
      <c r="C55" s="328" t="s">
        <v>240</v>
      </c>
      <c r="D55" s="329" t="s">
        <v>241</v>
      </c>
      <c r="E55" s="330" t="s">
        <v>242</v>
      </c>
      <c r="F55" s="224"/>
      <c r="G55" s="331" t="s">
        <v>243</v>
      </c>
      <c r="H55" s="332"/>
      <c r="I55" s="333" t="s">
        <v>56</v>
      </c>
      <c r="J55" s="334"/>
      <c r="K55" s="225"/>
    </row>
    <row r="56" spans="1:11" s="315" customFormat="1" hidden="1">
      <c r="A56" s="335"/>
      <c r="B56" s="336"/>
      <c r="C56" s="337" t="s">
        <v>244</v>
      </c>
      <c r="D56" s="338" t="s">
        <v>245</v>
      </c>
      <c r="E56" s="339" t="s">
        <v>246</v>
      </c>
      <c r="F56" s="224"/>
      <c r="G56" s="340" t="s">
        <v>247</v>
      </c>
      <c r="H56" s="341" t="s">
        <v>248</v>
      </c>
      <c r="I56" s="342" t="s">
        <v>247</v>
      </c>
      <c r="J56" s="343" t="s">
        <v>248</v>
      </c>
      <c r="K56" s="225"/>
    </row>
    <row r="57" spans="1:11" s="315" customFormat="1" hidden="1">
      <c r="A57" s="344" t="s">
        <v>249</v>
      </c>
      <c r="B57" s="345">
        <f t="shared" ref="B57:B68" si="1">C20</f>
        <v>0</v>
      </c>
      <c r="C57" s="346">
        <f>IF($B$51="空冷式（空冷散水式含む）",$G57,$I57)</f>
        <v>103</v>
      </c>
      <c r="D57" s="347">
        <f>IF($B$51="空冷式（空冷散水式含む）",$H57,$J57)</f>
        <v>95</v>
      </c>
      <c r="E57" s="348">
        <f>ROUND(D57*100/C57,0)</f>
        <v>92</v>
      </c>
      <c r="F57" s="224"/>
      <c r="G57" s="349">
        <f>IF($B$55&lt;37,VLOOKUP($B57,$B$76:$H$80,MATCH($B$52,$B$75:$H$75,1)),VLOOKUP($B57,$B$95:$H$99,MATCH($B$52,$B$94:$H$94),1))</f>
        <v>115</v>
      </c>
      <c r="H57" s="350">
        <f>IF($B$55&lt;37,VLOOKUP($B57,$B$84:$H$88,MATCH($B$52,$B$83:$H$83,1)),VLOOKUP($B57,$B$103:$H$107,MATCH($B$52,$B$102:$H$102,1)))</f>
        <v>82</v>
      </c>
      <c r="I57" s="351">
        <f>VLOOKUP($B57,$B$115:$H$119,MATCH($B$52,$B$114:$H$114,1))</f>
        <v>103</v>
      </c>
      <c r="J57" s="352">
        <f>VLOOKUP($B57,$B$123:$H$127,MATCH($B$52,$B$122:$H$122,1))</f>
        <v>95</v>
      </c>
      <c r="K57" s="225"/>
    </row>
    <row r="58" spans="1:11" s="315" customFormat="1" hidden="1">
      <c r="A58" s="344" t="s">
        <v>250</v>
      </c>
      <c r="B58" s="345">
        <f t="shared" si="1"/>
        <v>0</v>
      </c>
      <c r="C58" s="344">
        <f t="shared" ref="C58:C68" si="2">IF($B$51="空冷式（空冷散水式含む）",$G58,$I58)</f>
        <v>103</v>
      </c>
      <c r="D58" s="353">
        <f t="shared" ref="D58:D68" si="3">IF($B$51="空冷式（空冷散水式含む）",$H58,$J58)</f>
        <v>95</v>
      </c>
      <c r="E58" s="354">
        <f t="shared" ref="E58:E68" si="4">ROUND(D58*100/C58,0)</f>
        <v>92</v>
      </c>
      <c r="F58" s="224"/>
      <c r="G58" s="355">
        <f t="shared" ref="G58:G68" si="5">IF($B$55&lt;37,VLOOKUP($B58,$B$76:$H$80,MATCH($B$52,$B$75:$H$75,1)),VLOOKUP($B58,$B$95:$H$99,MATCH($B$52,$B$94:$H$94),1))</f>
        <v>115</v>
      </c>
      <c r="H58" s="356">
        <f t="shared" ref="H58:H68" si="6">IF($B$55&lt;37,VLOOKUP($B58,$B$84:$H$88,MATCH($B$52,$B$83:$H$83,1)),VLOOKUP($B58,$B$103:$H$107,MATCH($B$52,$B$102:$H$102,1)))</f>
        <v>82</v>
      </c>
      <c r="I58" s="357">
        <f t="shared" ref="I58:I68" si="7">VLOOKUP($B58,$B$115:$H$119,MATCH($B$52,$B$114:$H$114,1))</f>
        <v>103</v>
      </c>
      <c r="J58" s="358">
        <f t="shared" ref="J58:J68" si="8">VLOOKUP($B58,$B$123:$H$127,MATCH($B$52,$B$122:$H$122,1))</f>
        <v>95</v>
      </c>
      <c r="K58" s="225"/>
    </row>
    <row r="59" spans="1:11" s="315" customFormat="1" hidden="1">
      <c r="A59" s="344" t="s">
        <v>251</v>
      </c>
      <c r="B59" s="345">
        <f t="shared" si="1"/>
        <v>0</v>
      </c>
      <c r="C59" s="344">
        <f t="shared" si="2"/>
        <v>103</v>
      </c>
      <c r="D59" s="353">
        <f t="shared" si="3"/>
        <v>95</v>
      </c>
      <c r="E59" s="354">
        <f t="shared" si="4"/>
        <v>92</v>
      </c>
      <c r="F59" s="224"/>
      <c r="G59" s="355">
        <f t="shared" si="5"/>
        <v>115</v>
      </c>
      <c r="H59" s="356">
        <f t="shared" si="6"/>
        <v>82</v>
      </c>
      <c r="I59" s="357">
        <f t="shared" si="7"/>
        <v>103</v>
      </c>
      <c r="J59" s="358">
        <f t="shared" si="8"/>
        <v>95</v>
      </c>
      <c r="K59" s="225"/>
    </row>
    <row r="60" spans="1:11" s="315" customFormat="1" hidden="1">
      <c r="A60" s="344" t="s">
        <v>221</v>
      </c>
      <c r="B60" s="345">
        <f t="shared" si="1"/>
        <v>0</v>
      </c>
      <c r="C60" s="344">
        <f t="shared" si="2"/>
        <v>103</v>
      </c>
      <c r="D60" s="353">
        <f t="shared" si="3"/>
        <v>95</v>
      </c>
      <c r="E60" s="354">
        <f t="shared" si="4"/>
        <v>92</v>
      </c>
      <c r="F60" s="224"/>
      <c r="G60" s="355">
        <f t="shared" si="5"/>
        <v>115</v>
      </c>
      <c r="H60" s="356">
        <f t="shared" si="6"/>
        <v>82</v>
      </c>
      <c r="I60" s="357">
        <f t="shared" si="7"/>
        <v>103</v>
      </c>
      <c r="J60" s="358">
        <f t="shared" si="8"/>
        <v>95</v>
      </c>
      <c r="K60" s="225"/>
    </row>
    <row r="61" spans="1:11" s="315" customFormat="1" hidden="1">
      <c r="A61" s="344" t="s">
        <v>222</v>
      </c>
      <c r="B61" s="345">
        <f t="shared" si="1"/>
        <v>0</v>
      </c>
      <c r="C61" s="344">
        <f t="shared" si="2"/>
        <v>103</v>
      </c>
      <c r="D61" s="353">
        <f t="shared" si="3"/>
        <v>95</v>
      </c>
      <c r="E61" s="354">
        <f t="shared" si="4"/>
        <v>92</v>
      </c>
      <c r="F61" s="224"/>
      <c r="G61" s="355">
        <f t="shared" si="5"/>
        <v>115</v>
      </c>
      <c r="H61" s="356">
        <f t="shared" si="6"/>
        <v>82</v>
      </c>
      <c r="I61" s="357">
        <f t="shared" si="7"/>
        <v>103</v>
      </c>
      <c r="J61" s="358">
        <f t="shared" si="8"/>
        <v>95</v>
      </c>
      <c r="K61" s="225"/>
    </row>
    <row r="62" spans="1:11" s="315" customFormat="1" hidden="1">
      <c r="A62" s="344" t="s">
        <v>223</v>
      </c>
      <c r="B62" s="345">
        <f t="shared" si="1"/>
        <v>0</v>
      </c>
      <c r="C62" s="344">
        <f t="shared" si="2"/>
        <v>103</v>
      </c>
      <c r="D62" s="353">
        <f t="shared" si="3"/>
        <v>95</v>
      </c>
      <c r="E62" s="354">
        <f t="shared" si="4"/>
        <v>92</v>
      </c>
      <c r="F62" s="224"/>
      <c r="G62" s="355">
        <f t="shared" si="5"/>
        <v>115</v>
      </c>
      <c r="H62" s="356">
        <f t="shared" si="6"/>
        <v>82</v>
      </c>
      <c r="I62" s="357">
        <f t="shared" si="7"/>
        <v>103</v>
      </c>
      <c r="J62" s="358">
        <f t="shared" si="8"/>
        <v>95</v>
      </c>
      <c r="K62" s="225"/>
    </row>
    <row r="63" spans="1:11" s="315" customFormat="1" hidden="1">
      <c r="A63" s="344" t="s">
        <v>224</v>
      </c>
      <c r="B63" s="345">
        <f t="shared" si="1"/>
        <v>0</v>
      </c>
      <c r="C63" s="344">
        <f t="shared" si="2"/>
        <v>103</v>
      </c>
      <c r="D63" s="353">
        <f t="shared" si="3"/>
        <v>95</v>
      </c>
      <c r="E63" s="354">
        <f t="shared" si="4"/>
        <v>92</v>
      </c>
      <c r="F63" s="224"/>
      <c r="G63" s="355">
        <f t="shared" si="5"/>
        <v>115</v>
      </c>
      <c r="H63" s="356">
        <f t="shared" si="6"/>
        <v>82</v>
      </c>
      <c r="I63" s="357">
        <f t="shared" si="7"/>
        <v>103</v>
      </c>
      <c r="J63" s="358">
        <f t="shared" si="8"/>
        <v>95</v>
      </c>
      <c r="K63" s="225"/>
    </row>
    <row r="64" spans="1:11" s="315" customFormat="1" hidden="1">
      <c r="A64" s="344" t="s">
        <v>225</v>
      </c>
      <c r="B64" s="345">
        <f t="shared" si="1"/>
        <v>0</v>
      </c>
      <c r="C64" s="344">
        <f t="shared" si="2"/>
        <v>103</v>
      </c>
      <c r="D64" s="353">
        <f t="shared" si="3"/>
        <v>95</v>
      </c>
      <c r="E64" s="354">
        <f t="shared" si="4"/>
        <v>92</v>
      </c>
      <c r="F64" s="224"/>
      <c r="G64" s="355">
        <f t="shared" si="5"/>
        <v>115</v>
      </c>
      <c r="H64" s="359">
        <f t="shared" si="6"/>
        <v>82</v>
      </c>
      <c r="I64" s="357">
        <f t="shared" si="7"/>
        <v>103</v>
      </c>
      <c r="J64" s="358">
        <f t="shared" si="8"/>
        <v>95</v>
      </c>
      <c r="K64" s="225"/>
    </row>
    <row r="65" spans="1:11" s="315" customFormat="1" hidden="1">
      <c r="A65" s="344" t="s">
        <v>226</v>
      </c>
      <c r="B65" s="345">
        <f t="shared" si="1"/>
        <v>0</v>
      </c>
      <c r="C65" s="344">
        <f t="shared" si="2"/>
        <v>103</v>
      </c>
      <c r="D65" s="353">
        <f t="shared" si="3"/>
        <v>95</v>
      </c>
      <c r="E65" s="354">
        <f t="shared" si="4"/>
        <v>92</v>
      </c>
      <c r="F65" s="224"/>
      <c r="G65" s="355">
        <f t="shared" si="5"/>
        <v>115</v>
      </c>
      <c r="H65" s="356">
        <f t="shared" si="6"/>
        <v>82</v>
      </c>
      <c r="I65" s="357">
        <f t="shared" si="7"/>
        <v>103</v>
      </c>
      <c r="J65" s="358">
        <f t="shared" si="8"/>
        <v>95</v>
      </c>
      <c r="K65" s="225"/>
    </row>
    <row r="66" spans="1:11" s="315" customFormat="1" hidden="1">
      <c r="A66" s="344" t="s">
        <v>227</v>
      </c>
      <c r="B66" s="345">
        <f t="shared" si="1"/>
        <v>0</v>
      </c>
      <c r="C66" s="344">
        <f t="shared" si="2"/>
        <v>103</v>
      </c>
      <c r="D66" s="353">
        <f t="shared" si="3"/>
        <v>95</v>
      </c>
      <c r="E66" s="354">
        <f t="shared" si="4"/>
        <v>92</v>
      </c>
      <c r="F66" s="224"/>
      <c r="G66" s="355">
        <f t="shared" si="5"/>
        <v>115</v>
      </c>
      <c r="H66" s="356">
        <f t="shared" si="6"/>
        <v>82</v>
      </c>
      <c r="I66" s="357">
        <f t="shared" si="7"/>
        <v>103</v>
      </c>
      <c r="J66" s="358">
        <f t="shared" si="8"/>
        <v>95</v>
      </c>
      <c r="K66" s="225"/>
    </row>
    <row r="67" spans="1:11" s="315" customFormat="1" hidden="1">
      <c r="A67" s="344" t="s">
        <v>228</v>
      </c>
      <c r="B67" s="345">
        <f t="shared" si="1"/>
        <v>0</v>
      </c>
      <c r="C67" s="344">
        <f t="shared" si="2"/>
        <v>103</v>
      </c>
      <c r="D67" s="353">
        <f t="shared" si="3"/>
        <v>95</v>
      </c>
      <c r="E67" s="354">
        <f t="shared" si="4"/>
        <v>92</v>
      </c>
      <c r="F67" s="224"/>
      <c r="G67" s="355">
        <f t="shared" si="5"/>
        <v>115</v>
      </c>
      <c r="H67" s="356">
        <f t="shared" si="6"/>
        <v>82</v>
      </c>
      <c r="I67" s="357">
        <f t="shared" si="7"/>
        <v>103</v>
      </c>
      <c r="J67" s="358">
        <f t="shared" si="8"/>
        <v>95</v>
      </c>
      <c r="K67" s="225"/>
    </row>
    <row r="68" spans="1:11" s="315" customFormat="1" ht="15" hidden="1" thickBot="1">
      <c r="A68" s="360" t="s">
        <v>229</v>
      </c>
      <c r="B68" s="361">
        <f t="shared" si="1"/>
        <v>0</v>
      </c>
      <c r="C68" s="360">
        <f t="shared" si="2"/>
        <v>103</v>
      </c>
      <c r="D68" s="362">
        <f t="shared" si="3"/>
        <v>95</v>
      </c>
      <c r="E68" s="363">
        <f t="shared" si="4"/>
        <v>92</v>
      </c>
      <c r="F68" s="224"/>
      <c r="G68" s="364">
        <f t="shared" si="5"/>
        <v>115</v>
      </c>
      <c r="H68" s="365">
        <f t="shared" si="6"/>
        <v>82</v>
      </c>
      <c r="I68" s="366">
        <f t="shared" si="7"/>
        <v>103</v>
      </c>
      <c r="J68" s="367">
        <f t="shared" si="8"/>
        <v>95</v>
      </c>
      <c r="K68" s="225"/>
    </row>
    <row r="69" spans="1:11" s="315" customFormat="1" ht="15" hidden="1" thickBot="1">
      <c r="A69" s="224"/>
      <c r="B69" s="224"/>
      <c r="C69" s="225"/>
      <c r="D69" s="368" t="s">
        <v>252</v>
      </c>
      <c r="E69" s="369">
        <f>ROUND(AVERAGE(E57:E68),0)</f>
        <v>92</v>
      </c>
      <c r="F69" s="225"/>
      <c r="G69" s="225"/>
      <c r="H69" s="225"/>
      <c r="I69" s="225"/>
      <c r="J69" s="225"/>
      <c r="K69" s="225"/>
    </row>
    <row r="70" spans="1:11" s="315" customFormat="1" hidden="1">
      <c r="A70" s="224"/>
      <c r="B70" s="224"/>
      <c r="C70" s="225"/>
      <c r="D70" s="224"/>
      <c r="E70" s="370"/>
      <c r="F70" s="225"/>
      <c r="G70" s="225"/>
      <c r="H70" s="225"/>
      <c r="I70" s="225"/>
      <c r="J70" s="225"/>
      <c r="K70" s="225"/>
    </row>
    <row r="71" spans="1:11" s="315" customFormat="1" hidden="1">
      <c r="A71" s="224"/>
      <c r="B71" s="224"/>
      <c r="C71" s="225"/>
      <c r="D71" s="224"/>
      <c r="E71" s="370"/>
      <c r="F71" s="225"/>
      <c r="G71" s="225"/>
      <c r="H71" s="225"/>
      <c r="I71" s="225"/>
      <c r="J71" s="225"/>
      <c r="K71" s="225"/>
    </row>
    <row r="72" spans="1:11" s="315" customFormat="1" hidden="1">
      <c r="A72" s="317" t="s">
        <v>253</v>
      </c>
      <c r="B72" s="224"/>
      <c r="C72" s="225" t="s">
        <v>254</v>
      </c>
      <c r="D72" s="317"/>
      <c r="E72" s="317"/>
      <c r="F72" s="317"/>
      <c r="G72" s="317"/>
      <c r="H72" s="371"/>
      <c r="I72" s="317"/>
      <c r="J72" s="225"/>
      <c r="K72" s="225"/>
    </row>
    <row r="73" spans="1:11" s="315" customFormat="1" hidden="1">
      <c r="A73" s="317" t="s">
        <v>255</v>
      </c>
      <c r="B73" s="317"/>
      <c r="C73" s="225" t="s">
        <v>256</v>
      </c>
      <c r="D73" s="317"/>
      <c r="E73" s="317"/>
      <c r="F73" s="317"/>
      <c r="G73" s="317"/>
      <c r="H73" s="317"/>
      <c r="I73" s="372"/>
      <c r="J73" s="225"/>
      <c r="K73" s="225"/>
    </row>
    <row r="74" spans="1:11" s="315" customFormat="1" hidden="1">
      <c r="A74" s="373" t="s">
        <v>257</v>
      </c>
      <c r="B74" s="374"/>
      <c r="C74" s="375" t="s">
        <v>61</v>
      </c>
      <c r="D74" s="376"/>
      <c r="E74" s="376"/>
      <c r="F74" s="376"/>
      <c r="G74" s="376"/>
      <c r="H74" s="377"/>
      <c r="I74" s="317"/>
      <c r="J74" s="225"/>
      <c r="K74" s="225"/>
    </row>
    <row r="75" spans="1:11" s="315" customFormat="1" hidden="1">
      <c r="A75" s="378"/>
      <c r="B75" s="379"/>
      <c r="C75" s="380">
        <v>-65</v>
      </c>
      <c r="D75" s="365">
        <v>-40</v>
      </c>
      <c r="E75" s="365">
        <v>-25</v>
      </c>
      <c r="F75" s="365">
        <v>-10</v>
      </c>
      <c r="G75" s="365">
        <v>5</v>
      </c>
      <c r="H75" s="381">
        <v>10</v>
      </c>
      <c r="I75" s="317"/>
      <c r="J75" s="225"/>
      <c r="K75" s="225"/>
    </row>
    <row r="76" spans="1:11" s="315" customFormat="1" hidden="1">
      <c r="A76" s="382" t="s">
        <v>237</v>
      </c>
      <c r="B76" s="383">
        <v>-65</v>
      </c>
      <c r="C76" s="384">
        <v>110</v>
      </c>
      <c r="D76" s="350">
        <v>110</v>
      </c>
      <c r="E76" s="350">
        <v>114</v>
      </c>
      <c r="F76" s="350">
        <v>115</v>
      </c>
      <c r="G76" s="350">
        <v>116</v>
      </c>
      <c r="H76" s="385">
        <v>116</v>
      </c>
      <c r="I76" s="225" t="s">
        <v>258</v>
      </c>
      <c r="J76" s="225"/>
      <c r="K76" s="225"/>
    </row>
    <row r="77" spans="1:11" s="315" customFormat="1" hidden="1">
      <c r="A77" s="386"/>
      <c r="B77" s="387">
        <v>20</v>
      </c>
      <c r="C77" s="388">
        <v>110</v>
      </c>
      <c r="D77" s="356">
        <v>110</v>
      </c>
      <c r="E77" s="356">
        <v>114</v>
      </c>
      <c r="F77" s="356">
        <v>115</v>
      </c>
      <c r="G77" s="356">
        <v>116</v>
      </c>
      <c r="H77" s="389">
        <v>116</v>
      </c>
      <c r="I77" s="225" t="s">
        <v>259</v>
      </c>
      <c r="J77" s="225"/>
      <c r="K77" s="225"/>
    </row>
    <row r="78" spans="1:11" s="315" customFormat="1" hidden="1">
      <c r="A78" s="386"/>
      <c r="B78" s="387">
        <v>32</v>
      </c>
      <c r="C78" s="388">
        <v>100</v>
      </c>
      <c r="D78" s="356">
        <v>100</v>
      </c>
      <c r="E78" s="356">
        <v>100</v>
      </c>
      <c r="F78" s="356">
        <v>100</v>
      </c>
      <c r="G78" s="356">
        <v>100</v>
      </c>
      <c r="H78" s="389">
        <v>100</v>
      </c>
      <c r="I78" s="225" t="s">
        <v>260</v>
      </c>
      <c r="J78" s="225"/>
      <c r="K78" s="225"/>
    </row>
    <row r="79" spans="1:11" s="315" customFormat="1" hidden="1">
      <c r="A79" s="386"/>
      <c r="B79" s="387">
        <v>35</v>
      </c>
      <c r="C79" s="388">
        <v>95</v>
      </c>
      <c r="D79" s="356">
        <v>95</v>
      </c>
      <c r="E79" s="356">
        <v>96</v>
      </c>
      <c r="F79" s="356">
        <v>96</v>
      </c>
      <c r="G79" s="356">
        <v>95</v>
      </c>
      <c r="H79" s="389">
        <v>95</v>
      </c>
      <c r="I79" s="225"/>
      <c r="J79" s="225"/>
      <c r="K79" s="225"/>
    </row>
    <row r="80" spans="1:11" s="315" customFormat="1" ht="15" hidden="1" thickBot="1">
      <c r="A80" s="390"/>
      <c r="B80" s="391">
        <v>40</v>
      </c>
      <c r="C80" s="392">
        <v>87</v>
      </c>
      <c r="D80" s="393">
        <v>87</v>
      </c>
      <c r="E80" s="393">
        <v>89</v>
      </c>
      <c r="F80" s="393">
        <v>88</v>
      </c>
      <c r="G80" s="393">
        <v>86</v>
      </c>
      <c r="H80" s="394">
        <v>86</v>
      </c>
      <c r="I80" s="225"/>
      <c r="J80" s="225"/>
      <c r="K80" s="225"/>
    </row>
    <row r="81" spans="1:11" s="315" customFormat="1" hidden="1">
      <c r="A81" s="225"/>
      <c r="B81" s="224"/>
      <c r="C81" s="224"/>
      <c r="D81" s="224"/>
      <c r="E81" s="224"/>
      <c r="F81" s="224"/>
      <c r="G81" s="224"/>
      <c r="H81" s="224"/>
      <c r="I81" s="225"/>
      <c r="J81" s="225"/>
      <c r="K81" s="225"/>
    </row>
    <row r="82" spans="1:11" s="315" customFormat="1" hidden="1">
      <c r="A82" s="373" t="s">
        <v>261</v>
      </c>
      <c r="B82" s="395"/>
      <c r="C82" s="396" t="s">
        <v>61</v>
      </c>
      <c r="D82" s="397"/>
      <c r="E82" s="397"/>
      <c r="F82" s="397"/>
      <c r="G82" s="397"/>
      <c r="H82" s="398"/>
      <c r="I82" s="225"/>
      <c r="J82" s="225"/>
      <c r="K82" s="225"/>
    </row>
    <row r="83" spans="1:11" s="315" customFormat="1" hidden="1">
      <c r="A83" s="378"/>
      <c r="B83" s="379"/>
      <c r="C83" s="380">
        <v>-65</v>
      </c>
      <c r="D83" s="365">
        <v>-40</v>
      </c>
      <c r="E83" s="365">
        <v>-25</v>
      </c>
      <c r="F83" s="365">
        <v>-10</v>
      </c>
      <c r="G83" s="365">
        <v>5</v>
      </c>
      <c r="H83" s="381">
        <v>10</v>
      </c>
      <c r="I83" s="225"/>
      <c r="J83" s="225"/>
      <c r="K83" s="225"/>
    </row>
    <row r="84" spans="1:11" s="315" customFormat="1" hidden="1">
      <c r="A84" s="382" t="s">
        <v>237</v>
      </c>
      <c r="B84" s="383">
        <v>-65</v>
      </c>
      <c r="C84" s="384">
        <v>77</v>
      </c>
      <c r="D84" s="350">
        <v>77</v>
      </c>
      <c r="E84" s="350">
        <v>79</v>
      </c>
      <c r="F84" s="350">
        <v>82</v>
      </c>
      <c r="G84" s="350">
        <v>84</v>
      </c>
      <c r="H84" s="385">
        <v>84</v>
      </c>
      <c r="I84" s="225"/>
      <c r="J84" s="225"/>
      <c r="K84" s="225"/>
    </row>
    <row r="85" spans="1:11" s="315" customFormat="1" hidden="1">
      <c r="A85" s="386"/>
      <c r="B85" s="387">
        <v>20</v>
      </c>
      <c r="C85" s="388">
        <v>77</v>
      </c>
      <c r="D85" s="356">
        <v>77</v>
      </c>
      <c r="E85" s="356">
        <v>79</v>
      </c>
      <c r="F85" s="356">
        <v>82</v>
      </c>
      <c r="G85" s="356">
        <v>84</v>
      </c>
      <c r="H85" s="389">
        <v>84</v>
      </c>
      <c r="I85" s="225"/>
      <c r="J85" s="225"/>
      <c r="K85" s="225"/>
    </row>
    <row r="86" spans="1:11" s="315" customFormat="1" hidden="1">
      <c r="A86" s="386"/>
      <c r="B86" s="387">
        <v>32</v>
      </c>
      <c r="C86" s="388">
        <v>100</v>
      </c>
      <c r="D86" s="356">
        <v>100</v>
      </c>
      <c r="E86" s="356">
        <v>100</v>
      </c>
      <c r="F86" s="356">
        <v>100</v>
      </c>
      <c r="G86" s="356">
        <v>100</v>
      </c>
      <c r="H86" s="389">
        <v>100</v>
      </c>
      <c r="I86" s="225"/>
      <c r="J86" s="225"/>
      <c r="K86" s="225"/>
    </row>
    <row r="87" spans="1:11" s="315" customFormat="1" hidden="1">
      <c r="A87" s="386"/>
      <c r="B87" s="387">
        <v>35</v>
      </c>
      <c r="C87" s="388">
        <v>108</v>
      </c>
      <c r="D87" s="356">
        <v>108</v>
      </c>
      <c r="E87" s="356">
        <v>108</v>
      </c>
      <c r="F87" s="356">
        <v>106</v>
      </c>
      <c r="G87" s="356">
        <v>103</v>
      </c>
      <c r="H87" s="389">
        <v>103</v>
      </c>
      <c r="I87" s="225"/>
      <c r="J87" s="225"/>
      <c r="K87" s="225"/>
    </row>
    <row r="88" spans="1:11" s="315" customFormat="1" ht="15" hidden="1" thickBot="1">
      <c r="A88" s="390"/>
      <c r="B88" s="391">
        <v>40</v>
      </c>
      <c r="C88" s="392">
        <v>121</v>
      </c>
      <c r="D88" s="393">
        <v>121</v>
      </c>
      <c r="E88" s="393">
        <v>121</v>
      </c>
      <c r="F88" s="393">
        <v>117</v>
      </c>
      <c r="G88" s="393">
        <v>109</v>
      </c>
      <c r="H88" s="394">
        <v>109</v>
      </c>
      <c r="I88" s="225"/>
      <c r="J88" s="225"/>
      <c r="K88" s="225"/>
    </row>
    <row r="89" spans="1:11" s="315" customFormat="1" hidden="1">
      <c r="A89" s="225"/>
      <c r="B89" s="225"/>
      <c r="C89" s="225"/>
      <c r="D89" s="225"/>
      <c r="E89" s="225"/>
      <c r="F89" s="225"/>
      <c r="G89" s="225"/>
      <c r="H89" s="225"/>
      <c r="I89" s="225"/>
      <c r="J89" s="225"/>
      <c r="K89" s="225"/>
    </row>
    <row r="90" spans="1:11" s="315" customFormat="1" hidden="1">
      <c r="A90" s="225"/>
      <c r="B90" s="225"/>
      <c r="C90" s="225"/>
      <c r="D90" s="225"/>
      <c r="E90" s="225"/>
      <c r="F90" s="225"/>
      <c r="G90" s="225"/>
      <c r="H90" s="225"/>
      <c r="I90" s="225"/>
      <c r="J90" s="225"/>
      <c r="K90" s="225"/>
    </row>
    <row r="91" spans="1:11" s="315" customFormat="1" hidden="1">
      <c r="A91" s="225"/>
      <c r="B91" s="225"/>
      <c r="C91" s="225" t="s">
        <v>254</v>
      </c>
      <c r="D91" s="225"/>
      <c r="E91" s="225"/>
      <c r="F91" s="225"/>
      <c r="G91" s="225"/>
      <c r="H91" s="225"/>
      <c r="I91" s="225"/>
      <c r="J91" s="225"/>
      <c r="K91" s="225"/>
    </row>
    <row r="92" spans="1:11" s="315" customFormat="1" hidden="1">
      <c r="A92" s="317" t="s">
        <v>255</v>
      </c>
      <c r="B92" s="317"/>
      <c r="C92" s="225" t="s">
        <v>262</v>
      </c>
      <c r="D92" s="317"/>
      <c r="E92" s="317"/>
      <c r="F92" s="317"/>
      <c r="G92" s="317"/>
      <c r="H92" s="317"/>
      <c r="I92" s="225"/>
      <c r="J92" s="225"/>
      <c r="K92" s="225"/>
    </row>
    <row r="93" spans="1:11" s="315" customFormat="1" hidden="1">
      <c r="A93" s="373" t="s">
        <v>257</v>
      </c>
      <c r="B93" s="374"/>
      <c r="C93" s="375" t="s">
        <v>61</v>
      </c>
      <c r="D93" s="376"/>
      <c r="E93" s="376"/>
      <c r="F93" s="376"/>
      <c r="G93" s="376"/>
      <c r="H93" s="377"/>
      <c r="I93" s="225"/>
      <c r="J93" s="225"/>
      <c r="K93" s="225"/>
    </row>
    <row r="94" spans="1:11" s="315" customFormat="1" hidden="1">
      <c r="A94" s="378"/>
      <c r="B94" s="379"/>
      <c r="C94" s="380">
        <v>-50</v>
      </c>
      <c r="D94" s="365">
        <v>-45</v>
      </c>
      <c r="E94" s="365">
        <v>-40</v>
      </c>
      <c r="F94" s="365">
        <v>-35</v>
      </c>
      <c r="G94" s="365">
        <v>-30</v>
      </c>
      <c r="H94" s="381"/>
      <c r="I94" s="225"/>
      <c r="J94" s="225"/>
      <c r="K94" s="225"/>
    </row>
    <row r="95" spans="1:11" s="315" customFormat="1" hidden="1">
      <c r="A95" s="382" t="s">
        <v>237</v>
      </c>
      <c r="B95" s="383">
        <v>-65</v>
      </c>
      <c r="C95" s="384">
        <v>106</v>
      </c>
      <c r="D95" s="350">
        <v>100</v>
      </c>
      <c r="E95" s="350">
        <v>101</v>
      </c>
      <c r="F95" s="350">
        <v>105</v>
      </c>
      <c r="G95" s="350">
        <v>112</v>
      </c>
      <c r="H95" s="385"/>
      <c r="I95" s="225" t="s">
        <v>258</v>
      </c>
      <c r="J95" s="225"/>
      <c r="K95" s="225"/>
    </row>
    <row r="96" spans="1:11" s="315" customFormat="1" hidden="1">
      <c r="A96" s="386"/>
      <c r="B96" s="387">
        <v>25</v>
      </c>
      <c r="C96" s="388">
        <v>106</v>
      </c>
      <c r="D96" s="388">
        <v>100</v>
      </c>
      <c r="E96" s="388">
        <v>101</v>
      </c>
      <c r="F96" s="388">
        <v>105</v>
      </c>
      <c r="G96" s="388">
        <v>112</v>
      </c>
      <c r="H96" s="389"/>
      <c r="I96" s="225" t="s">
        <v>263</v>
      </c>
      <c r="J96" s="225"/>
      <c r="K96" s="225"/>
    </row>
    <row r="97" spans="1:11" s="315" customFormat="1" hidden="1">
      <c r="A97" s="386"/>
      <c r="B97" s="387">
        <v>32</v>
      </c>
      <c r="C97" s="388">
        <v>100</v>
      </c>
      <c r="D97" s="356">
        <v>100</v>
      </c>
      <c r="E97" s="356">
        <v>100</v>
      </c>
      <c r="F97" s="356">
        <v>100</v>
      </c>
      <c r="G97" s="356">
        <v>100</v>
      </c>
      <c r="H97" s="389"/>
      <c r="I97" s="225" t="s">
        <v>264</v>
      </c>
      <c r="J97" s="225"/>
      <c r="K97" s="225"/>
    </row>
    <row r="98" spans="1:11" s="315" customFormat="1" hidden="1">
      <c r="A98" s="386"/>
      <c r="B98" s="387">
        <v>35</v>
      </c>
      <c r="C98" s="399">
        <v>95</v>
      </c>
      <c r="D98" s="356">
        <v>95</v>
      </c>
      <c r="E98" s="356">
        <v>95</v>
      </c>
      <c r="F98" s="356">
        <v>95</v>
      </c>
      <c r="G98" s="356">
        <v>94</v>
      </c>
      <c r="H98" s="389"/>
      <c r="I98" s="225"/>
      <c r="J98" s="225"/>
      <c r="K98" s="225"/>
    </row>
    <row r="99" spans="1:11" s="315" customFormat="1" ht="15" hidden="1" thickBot="1">
      <c r="A99" s="390"/>
      <c r="B99" s="391"/>
      <c r="C99" s="392"/>
      <c r="D99" s="393"/>
      <c r="E99" s="393"/>
      <c r="F99" s="393"/>
      <c r="G99" s="393"/>
      <c r="H99" s="394"/>
      <c r="I99" s="225"/>
      <c r="J99" s="225"/>
      <c r="K99" s="225"/>
    </row>
    <row r="100" spans="1:11" s="315" customFormat="1" hidden="1">
      <c r="A100" s="225"/>
      <c r="B100" s="224"/>
      <c r="C100" s="224"/>
      <c r="D100" s="224"/>
      <c r="E100" s="224"/>
      <c r="F100" s="224"/>
      <c r="G100" s="224"/>
      <c r="H100" s="224"/>
      <c r="I100" s="225"/>
      <c r="J100" s="225"/>
      <c r="K100" s="225"/>
    </row>
    <row r="101" spans="1:11" s="315" customFormat="1" hidden="1">
      <c r="A101" s="373" t="s">
        <v>261</v>
      </c>
      <c r="B101" s="395"/>
      <c r="C101" s="396" t="s">
        <v>61</v>
      </c>
      <c r="D101" s="397"/>
      <c r="E101" s="397"/>
      <c r="F101" s="397"/>
      <c r="G101" s="397"/>
      <c r="H101" s="398"/>
      <c r="I101" s="225"/>
      <c r="J101" s="225"/>
      <c r="K101" s="225"/>
    </row>
    <row r="102" spans="1:11" s="315" customFormat="1" hidden="1">
      <c r="A102" s="378"/>
      <c r="B102" s="379"/>
      <c r="C102" s="380">
        <v>-50</v>
      </c>
      <c r="D102" s="365">
        <v>-45</v>
      </c>
      <c r="E102" s="365">
        <v>-40</v>
      </c>
      <c r="F102" s="365">
        <v>-35</v>
      </c>
      <c r="G102" s="365">
        <v>-30</v>
      </c>
      <c r="H102" s="381"/>
      <c r="I102" s="225"/>
      <c r="J102" s="225"/>
      <c r="K102" s="225"/>
    </row>
    <row r="103" spans="1:11" s="315" customFormat="1" hidden="1">
      <c r="A103" s="382" t="s">
        <v>237</v>
      </c>
      <c r="B103" s="383">
        <v>-65</v>
      </c>
      <c r="C103" s="384">
        <v>88</v>
      </c>
      <c r="D103" s="350">
        <v>87</v>
      </c>
      <c r="E103" s="350">
        <v>87</v>
      </c>
      <c r="F103" s="350">
        <v>95</v>
      </c>
      <c r="G103" s="350">
        <v>105</v>
      </c>
      <c r="H103" s="385"/>
      <c r="I103" s="225"/>
      <c r="J103" s="225"/>
      <c r="K103" s="225"/>
    </row>
    <row r="104" spans="1:11" s="315" customFormat="1" hidden="1">
      <c r="A104" s="386"/>
      <c r="B104" s="387">
        <v>25</v>
      </c>
      <c r="C104" s="388">
        <v>88</v>
      </c>
      <c r="D104" s="356">
        <v>87</v>
      </c>
      <c r="E104" s="356">
        <v>87</v>
      </c>
      <c r="F104" s="356">
        <v>95</v>
      </c>
      <c r="G104" s="356">
        <v>105</v>
      </c>
      <c r="H104" s="389"/>
      <c r="I104" s="225"/>
      <c r="J104" s="225"/>
      <c r="K104" s="225"/>
    </row>
    <row r="105" spans="1:11" s="315" customFormat="1" hidden="1">
      <c r="A105" s="386"/>
      <c r="B105" s="387">
        <v>32</v>
      </c>
      <c r="C105" s="388">
        <v>100</v>
      </c>
      <c r="D105" s="356">
        <v>100</v>
      </c>
      <c r="E105" s="356">
        <v>100</v>
      </c>
      <c r="F105" s="356">
        <v>100</v>
      </c>
      <c r="G105" s="356">
        <v>100</v>
      </c>
      <c r="H105" s="389"/>
      <c r="I105" s="225"/>
      <c r="J105" s="225"/>
      <c r="K105" s="225"/>
    </row>
    <row r="106" spans="1:11" s="315" customFormat="1" hidden="1">
      <c r="A106" s="386"/>
      <c r="B106" s="387">
        <v>35</v>
      </c>
      <c r="C106" s="388">
        <v>108</v>
      </c>
      <c r="D106" s="356">
        <v>106</v>
      </c>
      <c r="E106" s="356">
        <v>105</v>
      </c>
      <c r="F106" s="356">
        <v>105</v>
      </c>
      <c r="G106" s="356">
        <v>105</v>
      </c>
      <c r="H106" s="389"/>
      <c r="I106" s="225"/>
      <c r="J106" s="225"/>
      <c r="K106" s="225"/>
    </row>
    <row r="107" spans="1:11" s="315" customFormat="1" ht="15" hidden="1" thickBot="1">
      <c r="A107" s="390"/>
      <c r="B107" s="391"/>
      <c r="C107" s="392"/>
      <c r="D107" s="393"/>
      <c r="E107" s="393"/>
      <c r="F107" s="393"/>
      <c r="G107" s="393"/>
      <c r="H107" s="394"/>
      <c r="I107" s="225"/>
      <c r="J107" s="225"/>
      <c r="K107" s="225"/>
    </row>
    <row r="108" spans="1:11" s="315" customFormat="1" hidden="1">
      <c r="A108" s="225"/>
      <c r="B108" s="225"/>
      <c r="C108" s="225"/>
      <c r="D108" s="225"/>
      <c r="E108" s="225"/>
      <c r="F108" s="225"/>
      <c r="G108" s="225"/>
      <c r="H108" s="225"/>
      <c r="I108" s="225"/>
      <c r="J108" s="225"/>
      <c r="K108" s="225"/>
    </row>
    <row r="109" spans="1:11" s="315" customFormat="1" hidden="1">
      <c r="A109" s="225"/>
      <c r="B109" s="225"/>
      <c r="C109" s="225"/>
      <c r="D109" s="225"/>
      <c r="E109" s="225"/>
      <c r="F109" s="225"/>
      <c r="G109" s="225"/>
      <c r="H109" s="225"/>
      <c r="I109" s="225"/>
      <c r="J109" s="225"/>
      <c r="K109" s="225"/>
    </row>
    <row r="110" spans="1:11" s="315" customFormat="1" hidden="1">
      <c r="A110" s="225"/>
      <c r="B110" s="225"/>
      <c r="C110" s="225"/>
      <c r="D110" s="225"/>
      <c r="E110" s="225"/>
      <c r="F110" s="225"/>
      <c r="G110" s="225"/>
      <c r="H110" s="225"/>
      <c r="I110" s="225"/>
      <c r="J110" s="225"/>
      <c r="K110" s="225"/>
    </row>
    <row r="111" spans="1:11" s="315" customFormat="1" hidden="1">
      <c r="A111" s="224"/>
      <c r="B111" s="224"/>
      <c r="C111" s="224"/>
      <c r="D111" s="224"/>
      <c r="E111" s="224"/>
      <c r="F111" s="224"/>
      <c r="G111" s="225"/>
      <c r="H111" s="225"/>
      <c r="I111" s="225"/>
      <c r="J111" s="225"/>
      <c r="K111" s="225"/>
    </row>
    <row r="112" spans="1:11" s="315" customFormat="1" hidden="1">
      <c r="A112" s="317" t="s">
        <v>265</v>
      </c>
      <c r="B112" s="317"/>
      <c r="C112" s="225"/>
      <c r="D112" s="225"/>
      <c r="E112" s="225"/>
      <c r="F112" s="225"/>
      <c r="G112" s="225"/>
      <c r="H112" s="225"/>
      <c r="I112" s="225"/>
      <c r="J112" s="225"/>
      <c r="K112" s="225"/>
    </row>
    <row r="113" spans="1:11" s="315" customFormat="1" hidden="1">
      <c r="A113" s="400" t="s">
        <v>257</v>
      </c>
      <c r="B113" s="401"/>
      <c r="C113" s="402" t="s">
        <v>61</v>
      </c>
      <c r="D113" s="403"/>
      <c r="E113" s="403"/>
      <c r="F113" s="403"/>
      <c r="G113" s="403"/>
      <c r="H113" s="404"/>
      <c r="I113" s="225"/>
      <c r="J113" s="225"/>
      <c r="K113" s="225"/>
    </row>
    <row r="114" spans="1:11" s="315" customFormat="1" hidden="1">
      <c r="A114" s="405" t="s">
        <v>266</v>
      </c>
      <c r="B114" s="367" t="s">
        <v>267</v>
      </c>
      <c r="C114" s="406">
        <v>-65</v>
      </c>
      <c r="D114" s="407">
        <v>-40</v>
      </c>
      <c r="E114" s="407">
        <v>-30</v>
      </c>
      <c r="F114" s="407">
        <v>-10</v>
      </c>
      <c r="G114" s="407">
        <v>0</v>
      </c>
      <c r="H114" s="408">
        <v>10</v>
      </c>
      <c r="I114" s="225"/>
      <c r="J114" s="225"/>
      <c r="K114" s="225"/>
    </row>
    <row r="115" spans="1:11" s="315" customFormat="1" hidden="1">
      <c r="A115" s="409">
        <v>-65</v>
      </c>
      <c r="B115" s="410">
        <v>-65</v>
      </c>
      <c r="C115" s="411">
        <v>107</v>
      </c>
      <c r="D115" s="412">
        <v>104</v>
      </c>
      <c r="E115" s="412">
        <v>104</v>
      </c>
      <c r="F115" s="412">
        <v>103</v>
      </c>
      <c r="G115" s="412">
        <v>103</v>
      </c>
      <c r="H115" s="413">
        <v>103</v>
      </c>
      <c r="I115" s="225"/>
      <c r="J115" s="225"/>
      <c r="K115" s="225"/>
    </row>
    <row r="116" spans="1:11" s="315" customFormat="1" hidden="1">
      <c r="A116" s="414">
        <v>30</v>
      </c>
      <c r="B116" s="358">
        <v>22</v>
      </c>
      <c r="C116" s="411">
        <v>107</v>
      </c>
      <c r="D116" s="412">
        <v>104</v>
      </c>
      <c r="E116" s="412">
        <v>104</v>
      </c>
      <c r="F116" s="412">
        <v>103</v>
      </c>
      <c r="G116" s="412">
        <v>103</v>
      </c>
      <c r="H116" s="413">
        <v>103</v>
      </c>
      <c r="I116" s="225" t="s">
        <v>258</v>
      </c>
      <c r="J116" s="225"/>
      <c r="K116" s="225"/>
    </row>
    <row r="117" spans="1:11" s="315" customFormat="1" hidden="1">
      <c r="A117" s="414">
        <v>35</v>
      </c>
      <c r="B117" s="358">
        <v>27</v>
      </c>
      <c r="C117" s="415">
        <v>107</v>
      </c>
      <c r="D117" s="412">
        <v>104</v>
      </c>
      <c r="E117" s="412">
        <v>104</v>
      </c>
      <c r="F117" s="412">
        <v>103</v>
      </c>
      <c r="G117" s="412">
        <v>103</v>
      </c>
      <c r="H117" s="413">
        <v>103</v>
      </c>
      <c r="I117" s="225" t="s">
        <v>268</v>
      </c>
      <c r="J117" s="225"/>
      <c r="K117" s="225"/>
    </row>
    <row r="118" spans="1:11" s="315" customFormat="1" hidden="1">
      <c r="A118" s="414">
        <v>40</v>
      </c>
      <c r="B118" s="358">
        <v>32</v>
      </c>
      <c r="C118" s="411">
        <v>100</v>
      </c>
      <c r="D118" s="412">
        <v>100</v>
      </c>
      <c r="E118" s="412">
        <v>100</v>
      </c>
      <c r="F118" s="412">
        <v>100</v>
      </c>
      <c r="G118" s="412">
        <v>100</v>
      </c>
      <c r="H118" s="413">
        <v>100</v>
      </c>
      <c r="I118" s="225" t="s">
        <v>269</v>
      </c>
      <c r="J118" s="225"/>
      <c r="K118" s="225"/>
    </row>
    <row r="119" spans="1:11" s="315" customFormat="1" ht="15" hidden="1" thickBot="1">
      <c r="A119" s="416">
        <v>45</v>
      </c>
      <c r="B119" s="417">
        <v>37</v>
      </c>
      <c r="C119" s="418">
        <v>100</v>
      </c>
      <c r="D119" s="419">
        <v>100</v>
      </c>
      <c r="E119" s="419">
        <v>100</v>
      </c>
      <c r="F119" s="419">
        <v>100</v>
      </c>
      <c r="G119" s="419">
        <v>100</v>
      </c>
      <c r="H119" s="420">
        <v>100</v>
      </c>
      <c r="I119" s="225" t="s">
        <v>270</v>
      </c>
      <c r="J119" s="225"/>
      <c r="K119" s="225"/>
    </row>
    <row r="120" spans="1:11" s="315" customFormat="1" hidden="1">
      <c r="A120" s="225"/>
      <c r="B120" s="224"/>
      <c r="C120" s="224"/>
      <c r="D120" s="224"/>
      <c r="E120" s="224"/>
      <c r="F120" s="224"/>
      <c r="G120" s="224"/>
      <c r="H120" s="224"/>
      <c r="I120" s="225"/>
      <c r="J120" s="225"/>
      <c r="K120" s="225"/>
    </row>
    <row r="121" spans="1:11" s="315" customFormat="1" hidden="1">
      <c r="A121" s="400" t="s">
        <v>261</v>
      </c>
      <c r="B121" s="421"/>
      <c r="C121" s="422" t="s">
        <v>61</v>
      </c>
      <c r="D121" s="423"/>
      <c r="E121" s="423"/>
      <c r="F121" s="423"/>
      <c r="G121" s="423"/>
      <c r="H121" s="424"/>
      <c r="I121" s="225"/>
      <c r="J121" s="225"/>
      <c r="K121" s="225"/>
    </row>
    <row r="122" spans="1:11" s="315" customFormat="1" hidden="1">
      <c r="A122" s="405" t="s">
        <v>266</v>
      </c>
      <c r="B122" s="367" t="s">
        <v>267</v>
      </c>
      <c r="C122" s="406">
        <v>-65</v>
      </c>
      <c r="D122" s="407">
        <v>-40</v>
      </c>
      <c r="E122" s="407">
        <v>-30</v>
      </c>
      <c r="F122" s="407">
        <v>-10</v>
      </c>
      <c r="G122" s="407">
        <v>0</v>
      </c>
      <c r="H122" s="408">
        <v>10</v>
      </c>
      <c r="I122" s="225"/>
      <c r="J122" s="225"/>
      <c r="K122" s="225"/>
    </row>
    <row r="123" spans="1:11" s="315" customFormat="1" hidden="1">
      <c r="A123" s="425">
        <v>-65</v>
      </c>
      <c r="B123" s="426">
        <v>-65</v>
      </c>
      <c r="C123" s="415">
        <v>91</v>
      </c>
      <c r="D123" s="427">
        <v>93</v>
      </c>
      <c r="E123" s="427">
        <v>93</v>
      </c>
      <c r="F123" s="427">
        <v>95</v>
      </c>
      <c r="G123" s="427">
        <v>95</v>
      </c>
      <c r="H123" s="428">
        <v>95</v>
      </c>
      <c r="I123" s="225"/>
      <c r="J123" s="225"/>
      <c r="K123" s="225"/>
    </row>
    <row r="124" spans="1:11" s="315" customFormat="1" hidden="1">
      <c r="A124" s="414">
        <v>30</v>
      </c>
      <c r="B124" s="358">
        <v>22</v>
      </c>
      <c r="C124" s="415">
        <v>91</v>
      </c>
      <c r="D124" s="427">
        <v>93</v>
      </c>
      <c r="E124" s="427">
        <v>93</v>
      </c>
      <c r="F124" s="427">
        <v>95</v>
      </c>
      <c r="G124" s="427">
        <v>95</v>
      </c>
      <c r="H124" s="428">
        <v>95</v>
      </c>
      <c r="I124" s="225"/>
      <c r="J124" s="225"/>
      <c r="K124" s="225"/>
    </row>
    <row r="125" spans="1:11" s="315" customFormat="1" hidden="1">
      <c r="A125" s="414">
        <v>35</v>
      </c>
      <c r="B125" s="358">
        <v>27</v>
      </c>
      <c r="C125" s="415">
        <v>91</v>
      </c>
      <c r="D125" s="427">
        <v>93</v>
      </c>
      <c r="E125" s="427">
        <v>93</v>
      </c>
      <c r="F125" s="427">
        <v>95</v>
      </c>
      <c r="G125" s="427">
        <v>95</v>
      </c>
      <c r="H125" s="428">
        <v>95</v>
      </c>
      <c r="I125" s="225"/>
      <c r="J125" s="225"/>
      <c r="K125" s="225"/>
    </row>
    <row r="126" spans="1:11" s="315" customFormat="1" hidden="1">
      <c r="A126" s="414">
        <v>40</v>
      </c>
      <c r="B126" s="358">
        <v>32</v>
      </c>
      <c r="C126" s="415">
        <v>100</v>
      </c>
      <c r="D126" s="427">
        <v>100</v>
      </c>
      <c r="E126" s="427">
        <v>100</v>
      </c>
      <c r="F126" s="427">
        <v>100</v>
      </c>
      <c r="G126" s="427">
        <v>100</v>
      </c>
      <c r="H126" s="428">
        <v>100</v>
      </c>
      <c r="I126" s="225"/>
      <c r="J126" s="225"/>
      <c r="K126" s="225"/>
    </row>
    <row r="127" spans="1:11" s="315" customFormat="1" ht="15" hidden="1" thickBot="1">
      <c r="A127" s="416">
        <v>45</v>
      </c>
      <c r="B127" s="417">
        <v>37</v>
      </c>
      <c r="C127" s="418">
        <v>100</v>
      </c>
      <c r="D127" s="419">
        <v>100</v>
      </c>
      <c r="E127" s="419">
        <v>100</v>
      </c>
      <c r="F127" s="419">
        <v>100</v>
      </c>
      <c r="G127" s="419">
        <v>100</v>
      </c>
      <c r="H127" s="420">
        <v>100</v>
      </c>
      <c r="I127" s="225"/>
      <c r="J127" s="225"/>
      <c r="K127" s="225"/>
    </row>
    <row r="128" spans="1:11" s="315" customFormat="1" hidden="1">
      <c r="A128" s="225"/>
      <c r="B128" s="225"/>
      <c r="C128" s="225"/>
      <c r="D128" s="225"/>
      <c r="E128" s="225"/>
      <c r="F128" s="225"/>
      <c r="G128" s="225"/>
      <c r="H128" s="225"/>
      <c r="I128" s="225"/>
      <c r="J128" s="225"/>
      <c r="K128" s="225"/>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YwkQlv1wheES6J4KpkaPI44RQ0lEtdE8elBs/Y1YZnFgXB/NQRw/KRGMEVogZe74X1yMYP2PWOIcGNpc5VCCDw==" saltValue="ZEV3bGnS3sYLPOQHX5fr1A==" spinCount="100000" sheet="1" selectLockedCells="1"/>
  <mergeCells count="1">
    <mergeCell ref="C51:E53"/>
  </mergeCells>
  <phoneticPr fontId="3"/>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別紙１（2of3）（全系統の集計表)</vt:lpstr>
      <vt:lpstr>別紙１（2of3）（系統ごとの集計表） </vt:lpstr>
      <vt:lpstr>別紙１（2of3）（型式ごとの計算シート）</vt:lpstr>
      <vt:lpstr> 別紙１（別添1）</vt:lpstr>
      <vt:lpstr>別紙１（別添２）</vt:lpstr>
      <vt:lpstr>'別紙１（2of3）（型式ごとの計算シート）'!Print_Area</vt:lpstr>
      <vt:lpstr>'別紙１（2of3）（系統ごとの集計表） '!Print_Area</vt:lpstr>
      <vt:lpstr>'別紙１（2of3）（全系統の集計表)'!Print_Area</vt:lpstr>
      <vt:lpstr>'別紙１（別添２）'!Print_Area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和重</cp:lastModifiedBy>
  <cp:lastPrinted>2023-05-17T07:21:39Z</cp:lastPrinted>
  <dcterms:created xsi:type="dcterms:W3CDTF">2006-10-24T02:43:33Z</dcterms:created>
  <dcterms:modified xsi:type="dcterms:W3CDTF">2023-09-11T00:16:02Z</dcterms:modified>
</cp:coreProperties>
</file>